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B_QB_2020\TP#5\"/>
    </mc:Choice>
  </mc:AlternateContent>
  <bookViews>
    <workbookView xWindow="0" yWindow="0" windowWidth="23040" windowHeight="8676" activeTab="1"/>
  </bookViews>
  <sheets>
    <sheet name="T_Mprotic_Ac_B_simulation_ (2" sheetId="3" r:id="rId1"/>
    <sheet name="T_Diprotic_Ac_B_simulation_pH" sheetId="2" r:id="rId2"/>
  </sheets>
  <definedNames>
    <definedName name="C_NaOH">'T_Mprotic_Ac_B_simulation_ (2'!$D$10</definedName>
    <definedName name="Co_HA">'T_Mprotic_Ac_B_simulation_ (2'!$D$9</definedName>
    <definedName name="Ka1_">'T_Mprotic_Ac_B_simulation_ (2'!$G$12</definedName>
    <definedName name="Kw">'T_Mprotic_Ac_B_simulation_ (2'!$G$13</definedName>
    <definedName name="pKa1_">'T_Mprotic_Ac_B_simulation_ (2'!$D$12</definedName>
    <definedName name="pKw">'T_Mprotic_Ac_B_simulation_ (2'!$D$13</definedName>
    <definedName name="V_HA">'T_Mprotic_Ac_B_simulation_ (2'!$D$11</definedName>
    <definedName name="Vequivalent">'T_Mprotic_Ac_B_simulation_ (2'!$G$14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5" i="2" l="1"/>
  <c r="K121" i="2"/>
  <c r="I72" i="3" l="1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71" i="3"/>
  <c r="G14" i="3" l="1"/>
  <c r="G13" i="3"/>
  <c r="G12" i="3"/>
  <c r="E91" i="3" s="1"/>
  <c r="E75" i="3" l="1"/>
  <c r="E87" i="3"/>
  <c r="E74" i="3"/>
  <c r="E80" i="3"/>
  <c r="E85" i="3"/>
  <c r="E90" i="3"/>
  <c r="E76" i="3"/>
  <c r="E81" i="3"/>
  <c r="E86" i="3"/>
  <c r="E92" i="3"/>
  <c r="E72" i="3"/>
  <c r="E77" i="3"/>
  <c r="E82" i="3"/>
  <c r="E88" i="3"/>
  <c r="E93" i="3"/>
  <c r="E73" i="3"/>
  <c r="E78" i="3"/>
  <c r="E84" i="3"/>
  <c r="E89" i="3"/>
  <c r="E71" i="3"/>
  <c r="E79" i="3"/>
  <c r="E83" i="3"/>
  <c r="D108" i="3"/>
  <c r="F108" i="3" s="1"/>
  <c r="D115" i="3"/>
  <c r="F115" i="3" s="1"/>
  <c r="D114" i="3"/>
  <c r="F114" i="3" s="1"/>
  <c r="D121" i="3"/>
  <c r="F121" i="3" s="1"/>
  <c r="D120" i="3"/>
  <c r="F120" i="3" s="1"/>
  <c r="D113" i="3"/>
  <c r="F113" i="3" s="1"/>
  <c r="D112" i="3"/>
  <c r="F112" i="3" s="1"/>
  <c r="D119" i="3"/>
  <c r="F119" i="3" s="1"/>
  <c r="D118" i="3"/>
  <c r="F118" i="3" s="1"/>
  <c r="D111" i="3"/>
  <c r="F111" i="3" s="1"/>
  <c r="D110" i="3"/>
  <c r="F110" i="3" s="1"/>
  <c r="D122" i="3"/>
  <c r="F122" i="3" s="1"/>
  <c r="D117" i="3"/>
  <c r="F117" i="3" s="1"/>
  <c r="D116" i="3"/>
  <c r="F116" i="3" s="1"/>
  <c r="D109" i="3"/>
  <c r="D107" i="3"/>
  <c r="F107" i="3" s="1"/>
  <c r="D100" i="3"/>
  <c r="F100" i="3" s="1"/>
  <c r="D106" i="3"/>
  <c r="D105" i="3"/>
  <c r="F105" i="3" s="1"/>
  <c r="D104" i="3"/>
  <c r="F104" i="3" s="1"/>
  <c r="D103" i="3"/>
  <c r="F103" i="3" s="1"/>
  <c r="D102" i="3"/>
  <c r="D101" i="3"/>
  <c r="F101" i="3" s="1"/>
  <c r="D99" i="3"/>
  <c r="F99" i="3" s="1"/>
  <c r="D98" i="3"/>
  <c r="D97" i="3"/>
  <c r="F97" i="3" s="1"/>
  <c r="D96" i="3"/>
  <c r="F96" i="3" s="1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2" i="3"/>
  <c r="D71" i="3"/>
  <c r="D73" i="3"/>
  <c r="D74" i="3"/>
  <c r="D75" i="3"/>
  <c r="D76" i="3"/>
  <c r="D77" i="3"/>
  <c r="D78" i="3"/>
  <c r="D79" i="3"/>
  <c r="G15" i="2"/>
  <c r="L118" i="3" l="1"/>
  <c r="M118" i="3" s="1"/>
  <c r="N118" i="3" s="1"/>
  <c r="I118" i="3"/>
  <c r="L122" i="3"/>
  <c r="M122" i="3" s="1"/>
  <c r="N122" i="3" s="1"/>
  <c r="I122" i="3"/>
  <c r="L119" i="3"/>
  <c r="M119" i="3" s="1"/>
  <c r="I119" i="3"/>
  <c r="L121" i="3"/>
  <c r="M121" i="3" s="1"/>
  <c r="I121" i="3"/>
  <c r="L108" i="3"/>
  <c r="M108" i="3" s="1"/>
  <c r="N108" i="3" s="1"/>
  <c r="I108" i="3"/>
  <c r="L120" i="3"/>
  <c r="M120" i="3" s="1"/>
  <c r="N120" i="3" s="1"/>
  <c r="I120" i="3"/>
  <c r="P109" i="3"/>
  <c r="F109" i="3"/>
  <c r="L110" i="3"/>
  <c r="M110" i="3" s="1"/>
  <c r="N110" i="3" s="1"/>
  <c r="I110" i="3"/>
  <c r="L112" i="3"/>
  <c r="M112" i="3" s="1"/>
  <c r="I112" i="3"/>
  <c r="L114" i="3"/>
  <c r="M114" i="3" s="1"/>
  <c r="N114" i="3" s="1"/>
  <c r="I114" i="3"/>
  <c r="I117" i="3"/>
  <c r="L117" i="3"/>
  <c r="M117" i="3" s="1"/>
  <c r="L116" i="3"/>
  <c r="M116" i="3" s="1"/>
  <c r="N116" i="3" s="1"/>
  <c r="I116" i="3"/>
  <c r="L111" i="3"/>
  <c r="M111" i="3" s="1"/>
  <c r="I111" i="3"/>
  <c r="I113" i="3"/>
  <c r="L113" i="3"/>
  <c r="M113" i="3" s="1"/>
  <c r="L115" i="3"/>
  <c r="M115" i="3" s="1"/>
  <c r="I115" i="3"/>
  <c r="I104" i="3"/>
  <c r="L104" i="3"/>
  <c r="M104" i="3" s="1"/>
  <c r="N104" i="3" s="1"/>
  <c r="I96" i="3"/>
  <c r="L96" i="3"/>
  <c r="M96" i="3" s="1"/>
  <c r="N96" i="3" s="1"/>
  <c r="I101" i="3"/>
  <c r="L101" i="3"/>
  <c r="M101" i="3" s="1"/>
  <c r="N101" i="3" s="1"/>
  <c r="I97" i="3"/>
  <c r="L97" i="3"/>
  <c r="M97" i="3" s="1"/>
  <c r="N97" i="3" s="1"/>
  <c r="F102" i="3"/>
  <c r="F106" i="3"/>
  <c r="L99" i="3"/>
  <c r="M99" i="3" s="1"/>
  <c r="N99" i="3" s="1"/>
  <c r="I99" i="3"/>
  <c r="L107" i="3"/>
  <c r="M107" i="3" s="1"/>
  <c r="I107" i="3"/>
  <c r="L105" i="3"/>
  <c r="M105" i="3" s="1"/>
  <c r="N105" i="3" s="1"/>
  <c r="I105" i="3"/>
  <c r="F98" i="3"/>
  <c r="L103" i="3"/>
  <c r="M103" i="3" s="1"/>
  <c r="N103" i="3" s="1"/>
  <c r="I103" i="3"/>
  <c r="L100" i="3"/>
  <c r="M100" i="3" s="1"/>
  <c r="N100" i="3" s="1"/>
  <c r="I100" i="3"/>
  <c r="D74" i="2"/>
  <c r="F74" i="2" s="1"/>
  <c r="I74" i="2" s="1"/>
  <c r="D137" i="2"/>
  <c r="F137" i="2" s="1"/>
  <c r="D139" i="2"/>
  <c r="F139" i="2" s="1"/>
  <c r="D140" i="2"/>
  <c r="F140" i="2" s="1"/>
  <c r="D138" i="2"/>
  <c r="F138" i="2" s="1"/>
  <c r="P119" i="3"/>
  <c r="P117" i="3"/>
  <c r="P121" i="3"/>
  <c r="P112" i="3"/>
  <c r="P108" i="3"/>
  <c r="S109" i="3" s="1"/>
  <c r="P116" i="3"/>
  <c r="P113" i="3"/>
  <c r="P120" i="3"/>
  <c r="N112" i="3"/>
  <c r="P111" i="3"/>
  <c r="P118" i="3"/>
  <c r="S119" i="3" s="1"/>
  <c r="P114" i="3"/>
  <c r="P115" i="3"/>
  <c r="P110" i="3"/>
  <c r="P122" i="3"/>
  <c r="P78" i="3"/>
  <c r="P72" i="3"/>
  <c r="P73" i="3"/>
  <c r="P83" i="3"/>
  <c r="P87" i="3"/>
  <c r="P91" i="3"/>
  <c r="F94" i="3"/>
  <c r="I94" i="3" s="1"/>
  <c r="P95" i="3"/>
  <c r="P99" i="3"/>
  <c r="P104" i="3"/>
  <c r="P74" i="3"/>
  <c r="P84" i="3"/>
  <c r="P88" i="3"/>
  <c r="P92" i="3"/>
  <c r="F95" i="3"/>
  <c r="P96" i="3"/>
  <c r="P100" i="3"/>
  <c r="P105" i="3"/>
  <c r="P80" i="3"/>
  <c r="P81" i="3"/>
  <c r="P85" i="3"/>
  <c r="P89" i="3"/>
  <c r="P93" i="3"/>
  <c r="P97" i="3"/>
  <c r="P102" i="3"/>
  <c r="P106" i="3"/>
  <c r="P101" i="3"/>
  <c r="P76" i="3"/>
  <c r="P79" i="3"/>
  <c r="S80" i="3" s="1"/>
  <c r="P77" i="3"/>
  <c r="P75" i="3"/>
  <c r="P82" i="3"/>
  <c r="S83" i="3" s="1"/>
  <c r="P86" i="3"/>
  <c r="P90" i="3"/>
  <c r="P94" i="3"/>
  <c r="S95" i="3" s="1"/>
  <c r="P98" i="3"/>
  <c r="P103" i="3"/>
  <c r="S104" i="3" s="1"/>
  <c r="P107" i="3"/>
  <c r="D121" i="2"/>
  <c r="F121" i="2" s="1"/>
  <c r="D123" i="2"/>
  <c r="F123" i="2" s="1"/>
  <c r="D125" i="2"/>
  <c r="F125" i="2" s="1"/>
  <c r="D124" i="2"/>
  <c r="D126" i="2"/>
  <c r="F126" i="2" s="1"/>
  <c r="D97" i="2"/>
  <c r="D98" i="2"/>
  <c r="D94" i="2"/>
  <c r="D120" i="2"/>
  <c r="Q121" i="2" s="1"/>
  <c r="D107" i="2"/>
  <c r="D131" i="2"/>
  <c r="F131" i="2" s="1"/>
  <c r="D119" i="2"/>
  <c r="D85" i="2"/>
  <c r="D92" i="2"/>
  <c r="D118" i="2"/>
  <c r="D93" i="2"/>
  <c r="Q94" i="2" s="1"/>
  <c r="D96" i="2"/>
  <c r="D127" i="2"/>
  <c r="F127" i="2" s="1"/>
  <c r="D103" i="2"/>
  <c r="D81" i="2"/>
  <c r="D115" i="2"/>
  <c r="D99" i="2"/>
  <c r="D77" i="2"/>
  <c r="D135" i="2"/>
  <c r="F135" i="2" s="1"/>
  <c r="D111" i="2"/>
  <c r="D89" i="2"/>
  <c r="D73" i="2"/>
  <c r="D134" i="2"/>
  <c r="F134" i="2" s="1"/>
  <c r="D130" i="2"/>
  <c r="F130" i="2" s="1"/>
  <c r="D122" i="2"/>
  <c r="D114" i="2"/>
  <c r="D110" i="2"/>
  <c r="D106" i="2"/>
  <c r="D102" i="2"/>
  <c r="D95" i="2"/>
  <c r="F95" i="2" s="1"/>
  <c r="D88" i="2"/>
  <c r="D84" i="2"/>
  <c r="D80" i="2"/>
  <c r="D76" i="2"/>
  <c r="D72" i="2"/>
  <c r="D133" i="2"/>
  <c r="F133" i="2" s="1"/>
  <c r="D129" i="2"/>
  <c r="F129" i="2" s="1"/>
  <c r="D117" i="2"/>
  <c r="D113" i="2"/>
  <c r="D109" i="2"/>
  <c r="D105" i="2"/>
  <c r="D101" i="2"/>
  <c r="D91" i="2"/>
  <c r="D87" i="2"/>
  <c r="D83" i="2"/>
  <c r="D79" i="2"/>
  <c r="D75" i="2"/>
  <c r="D136" i="2"/>
  <c r="F136" i="2" s="1"/>
  <c r="D132" i="2"/>
  <c r="F132" i="2" s="1"/>
  <c r="D128" i="2"/>
  <c r="F128" i="2" s="1"/>
  <c r="D116" i="2"/>
  <c r="D112" i="2"/>
  <c r="D108" i="2"/>
  <c r="D104" i="2"/>
  <c r="D100" i="2"/>
  <c r="D90" i="2"/>
  <c r="D86" i="2"/>
  <c r="D82" i="2"/>
  <c r="D78" i="2"/>
  <c r="G14" i="2"/>
  <c r="S110" i="3" l="1"/>
  <c r="F122" i="2"/>
  <c r="K122" i="2" s="1"/>
  <c r="I121" i="2"/>
  <c r="M127" i="2"/>
  <c r="N127" i="2" s="1"/>
  <c r="O127" i="2" s="1"/>
  <c r="M136" i="2"/>
  <c r="N136" i="2" s="1"/>
  <c r="O136" i="2" s="1"/>
  <c r="M133" i="2"/>
  <c r="N133" i="2" s="1"/>
  <c r="O133" i="2" s="1"/>
  <c r="M130" i="2"/>
  <c r="N130" i="2" s="1"/>
  <c r="O130" i="2" s="1"/>
  <c r="M126" i="2"/>
  <c r="N126" i="2" s="1"/>
  <c r="O126" i="2" s="1"/>
  <c r="M137" i="2"/>
  <c r="N137" i="2" s="1"/>
  <c r="O137" i="2" s="1"/>
  <c r="M132" i="2"/>
  <c r="N132" i="2" s="1"/>
  <c r="O132" i="2" s="1"/>
  <c r="M129" i="2"/>
  <c r="N129" i="2" s="1"/>
  <c r="O129" i="2" s="1"/>
  <c r="M134" i="2"/>
  <c r="N134" i="2" s="1"/>
  <c r="O134" i="2" s="1"/>
  <c r="M135" i="2"/>
  <c r="N135" i="2" s="1"/>
  <c r="O135" i="2" s="1"/>
  <c r="Q124" i="2"/>
  <c r="F124" i="2"/>
  <c r="M138" i="2"/>
  <c r="N138" i="2" s="1"/>
  <c r="O138" i="2" s="1"/>
  <c r="M123" i="2"/>
  <c r="N123" i="2" s="1"/>
  <c r="M139" i="2"/>
  <c r="N139" i="2" s="1"/>
  <c r="O139" i="2" s="1"/>
  <c r="M128" i="2"/>
  <c r="N128" i="2" s="1"/>
  <c r="O128" i="2" s="1"/>
  <c r="I95" i="2"/>
  <c r="G95" i="2"/>
  <c r="M131" i="2"/>
  <c r="N131" i="2" s="1"/>
  <c r="O131" i="2" s="1"/>
  <c r="M125" i="2"/>
  <c r="N125" i="2" s="1"/>
  <c r="M140" i="2"/>
  <c r="N140" i="2" s="1"/>
  <c r="O140" i="2" s="1"/>
  <c r="I95" i="3"/>
  <c r="L95" i="3"/>
  <c r="M95" i="3" s="1"/>
  <c r="E94" i="3"/>
  <c r="J94" i="3" s="1"/>
  <c r="I109" i="3"/>
  <c r="L109" i="3"/>
  <c r="M109" i="3" s="1"/>
  <c r="N109" i="3" s="1"/>
  <c r="Q109" i="3" s="1"/>
  <c r="L102" i="3"/>
  <c r="M102" i="3" s="1"/>
  <c r="N102" i="3" s="1"/>
  <c r="I102" i="3"/>
  <c r="L106" i="3"/>
  <c r="M106" i="3" s="1"/>
  <c r="N106" i="3" s="1"/>
  <c r="I106" i="3"/>
  <c r="L98" i="3"/>
  <c r="M98" i="3" s="1"/>
  <c r="N98" i="3" s="1"/>
  <c r="I98" i="3"/>
  <c r="Q138" i="2"/>
  <c r="Q139" i="2"/>
  <c r="Q137" i="2"/>
  <c r="G74" i="2"/>
  <c r="Q140" i="2"/>
  <c r="S118" i="3"/>
  <c r="S114" i="3"/>
  <c r="S121" i="3"/>
  <c r="S122" i="3"/>
  <c r="S117" i="3"/>
  <c r="S120" i="3"/>
  <c r="S115" i="3"/>
  <c r="S112" i="3"/>
  <c r="S111" i="3"/>
  <c r="S78" i="3"/>
  <c r="S116" i="3"/>
  <c r="S113" i="3"/>
  <c r="N117" i="3"/>
  <c r="Q117" i="3" s="1"/>
  <c r="S87" i="3"/>
  <c r="N121" i="3"/>
  <c r="Q121" i="3" s="1"/>
  <c r="N113" i="3"/>
  <c r="N119" i="3"/>
  <c r="Q119" i="3" s="1"/>
  <c r="S108" i="3"/>
  <c r="N111" i="3"/>
  <c r="Q111" i="3" s="1"/>
  <c r="N115" i="3"/>
  <c r="N107" i="3"/>
  <c r="Q108" i="3" s="1"/>
  <c r="S99" i="3"/>
  <c r="S102" i="3"/>
  <c r="S91" i="3"/>
  <c r="S93" i="3"/>
  <c r="S105" i="3"/>
  <c r="S96" i="3"/>
  <c r="S88" i="3"/>
  <c r="S103" i="3"/>
  <c r="S94" i="3"/>
  <c r="S106" i="3"/>
  <c r="S97" i="3"/>
  <c r="S89" i="3"/>
  <c r="S92" i="3"/>
  <c r="S73" i="3"/>
  <c r="S76" i="3"/>
  <c r="S86" i="3"/>
  <c r="S81" i="3"/>
  <c r="S75" i="3"/>
  <c r="S100" i="3"/>
  <c r="S84" i="3"/>
  <c r="S98" i="3"/>
  <c r="S90" i="3"/>
  <c r="S77" i="3"/>
  <c r="S107" i="3"/>
  <c r="S82" i="3"/>
  <c r="S101" i="3"/>
  <c r="S85" i="3"/>
  <c r="S74" i="3"/>
  <c r="S79" i="3"/>
  <c r="Q97" i="2"/>
  <c r="Q93" i="2"/>
  <c r="T94" i="2" s="1"/>
  <c r="Q96" i="2"/>
  <c r="Q95" i="2"/>
  <c r="T95" i="2" s="1"/>
  <c r="F100" i="2"/>
  <c r="K100" i="2" s="1"/>
  <c r="Q101" i="2"/>
  <c r="F75" i="2"/>
  <c r="I75" i="2" s="1"/>
  <c r="Q76" i="2"/>
  <c r="F72" i="2"/>
  <c r="G72" i="2" s="1"/>
  <c r="Q73" i="2"/>
  <c r="Q135" i="2"/>
  <c r="F92" i="2"/>
  <c r="G92" i="2" s="1"/>
  <c r="F98" i="2"/>
  <c r="Q99" i="2"/>
  <c r="Q126" i="2"/>
  <c r="F82" i="2"/>
  <c r="I82" i="2" s="1"/>
  <c r="Q83" i="2"/>
  <c r="F104" i="2"/>
  <c r="I104" i="2" s="1"/>
  <c r="Q105" i="2"/>
  <c r="Q129" i="2"/>
  <c r="F79" i="2"/>
  <c r="I79" i="2" s="1"/>
  <c r="Q80" i="2"/>
  <c r="F101" i="2"/>
  <c r="I101" i="2" s="1"/>
  <c r="Q102" i="2"/>
  <c r="F117" i="2"/>
  <c r="I117" i="2" s="1"/>
  <c r="Q118" i="2"/>
  <c r="F76" i="2"/>
  <c r="I76" i="2" s="1"/>
  <c r="Q77" i="2"/>
  <c r="F114" i="2"/>
  <c r="K114" i="2" s="1"/>
  <c r="Q115" i="2"/>
  <c r="F73" i="2"/>
  <c r="I73" i="2" s="1"/>
  <c r="Q74" i="2"/>
  <c r="F77" i="2"/>
  <c r="I77" i="2" s="1"/>
  <c r="Q78" i="2"/>
  <c r="F103" i="2"/>
  <c r="K103" i="2" s="1"/>
  <c r="Q104" i="2"/>
  <c r="F93" i="2"/>
  <c r="F85" i="2"/>
  <c r="I85" i="2" s="1"/>
  <c r="Q86" i="2"/>
  <c r="F107" i="2"/>
  <c r="K107" i="2" s="1"/>
  <c r="Q108" i="2"/>
  <c r="F97" i="2"/>
  <c r="Q98" i="2"/>
  <c r="Q75" i="2"/>
  <c r="F78" i="2"/>
  <c r="I78" i="2" s="1"/>
  <c r="Q79" i="2"/>
  <c r="F116" i="2"/>
  <c r="K116" i="2" s="1"/>
  <c r="Q117" i="2"/>
  <c r="F91" i="2"/>
  <c r="I91" i="2" s="1"/>
  <c r="Q92" i="2"/>
  <c r="F113" i="2"/>
  <c r="K113" i="2" s="1"/>
  <c r="Q114" i="2"/>
  <c r="F88" i="2"/>
  <c r="I88" i="2" s="1"/>
  <c r="Q89" i="2"/>
  <c r="F110" i="2"/>
  <c r="K110" i="2" s="1"/>
  <c r="Q111" i="2"/>
  <c r="Q136" i="2"/>
  <c r="F81" i="2"/>
  <c r="I81" i="2" s="1"/>
  <c r="Q82" i="2"/>
  <c r="F96" i="2"/>
  <c r="Q132" i="2"/>
  <c r="F86" i="2"/>
  <c r="I86" i="2" s="1"/>
  <c r="Q87" i="2"/>
  <c r="F108" i="2"/>
  <c r="K108" i="2" s="1"/>
  <c r="Q109" i="2"/>
  <c r="Q133" i="2"/>
  <c r="F83" i="2"/>
  <c r="I83" i="2" s="1"/>
  <c r="Q84" i="2"/>
  <c r="F105" i="2"/>
  <c r="I105" i="2" s="1"/>
  <c r="Q106" i="2"/>
  <c r="Q130" i="2"/>
  <c r="F80" i="2"/>
  <c r="I80" i="2" s="1"/>
  <c r="Q81" i="2"/>
  <c r="F102" i="2"/>
  <c r="K102" i="2" s="1"/>
  <c r="Q103" i="2"/>
  <c r="Q123" i="2"/>
  <c r="T124" i="2" s="1"/>
  <c r="Q122" i="2"/>
  <c r="T122" i="2" s="1"/>
  <c r="F89" i="2"/>
  <c r="I89" i="2" s="1"/>
  <c r="Q90" i="2"/>
  <c r="F99" i="2"/>
  <c r="K99" i="2" s="1"/>
  <c r="Q100" i="2"/>
  <c r="Q128" i="2"/>
  <c r="F118" i="2"/>
  <c r="K118" i="2" s="1"/>
  <c r="Q119" i="2"/>
  <c r="F119" i="2"/>
  <c r="I119" i="2" s="1"/>
  <c r="Q120" i="2"/>
  <c r="T121" i="2" s="1"/>
  <c r="F120" i="2"/>
  <c r="Q127" i="2"/>
  <c r="F90" i="2"/>
  <c r="I90" i="2" s="1"/>
  <c r="Q91" i="2"/>
  <c r="F112" i="2"/>
  <c r="I112" i="2" s="1"/>
  <c r="Q113" i="2"/>
  <c r="F87" i="2"/>
  <c r="I87" i="2" s="1"/>
  <c r="Q88" i="2"/>
  <c r="F109" i="2"/>
  <c r="K109" i="2" s="1"/>
  <c r="Q110" i="2"/>
  <c r="Q134" i="2"/>
  <c r="F84" i="2"/>
  <c r="I84" i="2" s="1"/>
  <c r="Q85" i="2"/>
  <c r="F106" i="2"/>
  <c r="I106" i="2" s="1"/>
  <c r="Q107" i="2"/>
  <c r="Q131" i="2"/>
  <c r="F111" i="2"/>
  <c r="K111" i="2" s="1"/>
  <c r="Q112" i="2"/>
  <c r="F115" i="2"/>
  <c r="Q116" i="2"/>
  <c r="F94" i="2"/>
  <c r="Q125" i="2"/>
  <c r="G13" i="2"/>
  <c r="G12" i="2"/>
  <c r="E72" i="2" s="1"/>
  <c r="J72" i="2" s="1"/>
  <c r="H72" i="2" l="1"/>
  <c r="E109" i="2"/>
  <c r="E113" i="2"/>
  <c r="E110" i="2"/>
  <c r="E114" i="2"/>
  <c r="E111" i="2"/>
  <c r="E115" i="2"/>
  <c r="E121" i="2"/>
  <c r="E116" i="2"/>
  <c r="E118" i="2"/>
  <c r="E122" i="2"/>
  <c r="J78" i="3"/>
  <c r="T132" i="2"/>
  <c r="T98" i="2"/>
  <c r="T97" i="2"/>
  <c r="T128" i="2"/>
  <c r="T139" i="2"/>
  <c r="K96" i="2"/>
  <c r="I96" i="2"/>
  <c r="T138" i="2"/>
  <c r="M124" i="2"/>
  <c r="N124" i="2" s="1"/>
  <c r="O124" i="2" s="1"/>
  <c r="H94" i="3"/>
  <c r="M94" i="3" s="1"/>
  <c r="L94" i="3" s="1"/>
  <c r="J86" i="3"/>
  <c r="E95" i="3"/>
  <c r="E95" i="2"/>
  <c r="J95" i="2" s="1"/>
  <c r="N95" i="2"/>
  <c r="M95" i="2" s="1"/>
  <c r="G77" i="2"/>
  <c r="E77" i="2" s="1"/>
  <c r="R137" i="2"/>
  <c r="E74" i="2"/>
  <c r="J91" i="3"/>
  <c r="H88" i="3"/>
  <c r="H89" i="3"/>
  <c r="H72" i="3"/>
  <c r="J76" i="3"/>
  <c r="J74" i="3"/>
  <c r="H77" i="3"/>
  <c r="J83" i="3"/>
  <c r="H82" i="3"/>
  <c r="J79" i="3"/>
  <c r="J80" i="3"/>
  <c r="H75" i="3"/>
  <c r="H81" i="3"/>
  <c r="H90" i="3"/>
  <c r="H87" i="3"/>
  <c r="H92" i="3"/>
  <c r="J73" i="3"/>
  <c r="J84" i="3"/>
  <c r="J85" i="3"/>
  <c r="H71" i="3"/>
  <c r="R138" i="2"/>
  <c r="R139" i="2"/>
  <c r="R140" i="2"/>
  <c r="O123" i="2"/>
  <c r="T137" i="2"/>
  <c r="T140" i="2"/>
  <c r="Q122" i="3"/>
  <c r="T122" i="3" s="1"/>
  <c r="Q112" i="3"/>
  <c r="T112" i="3" s="1"/>
  <c r="Q118" i="3"/>
  <c r="T118" i="3" s="1"/>
  <c r="Q110" i="3"/>
  <c r="T110" i="3" s="1"/>
  <c r="Q120" i="3"/>
  <c r="T120" i="3" s="1"/>
  <c r="Q115" i="3"/>
  <c r="Q116" i="3"/>
  <c r="T109" i="3"/>
  <c r="Q113" i="3"/>
  <c r="Q114" i="3"/>
  <c r="H93" i="3"/>
  <c r="J71" i="3"/>
  <c r="T93" i="2"/>
  <c r="T115" i="2"/>
  <c r="T118" i="2"/>
  <c r="T105" i="2"/>
  <c r="T101" i="2"/>
  <c r="G94" i="2"/>
  <c r="I94" i="2"/>
  <c r="T80" i="2"/>
  <c r="T96" i="2"/>
  <c r="I97" i="2"/>
  <c r="K97" i="2"/>
  <c r="G93" i="2"/>
  <c r="I93" i="2"/>
  <c r="I99" i="2"/>
  <c r="E99" i="2" s="1"/>
  <c r="I118" i="2"/>
  <c r="G87" i="2"/>
  <c r="E87" i="2" s="1"/>
  <c r="I120" i="2"/>
  <c r="T104" i="2"/>
  <c r="R132" i="2"/>
  <c r="T83" i="2"/>
  <c r="K106" i="2"/>
  <c r="E106" i="2" s="1"/>
  <c r="T89" i="2"/>
  <c r="T92" i="2"/>
  <c r="I111" i="2"/>
  <c r="I109" i="2"/>
  <c r="G90" i="2"/>
  <c r="E90" i="2" s="1"/>
  <c r="R127" i="2"/>
  <c r="T86" i="2"/>
  <c r="R129" i="2"/>
  <c r="G88" i="2"/>
  <c r="E88" i="2" s="1"/>
  <c r="I110" i="2"/>
  <c r="I72" i="2"/>
  <c r="I100" i="2"/>
  <c r="E100" i="2" s="1"/>
  <c r="I103" i="2"/>
  <c r="E103" i="2" s="1"/>
  <c r="K117" i="2"/>
  <c r="E117" i="2" s="1"/>
  <c r="I114" i="2"/>
  <c r="I113" i="2"/>
  <c r="I116" i="2"/>
  <c r="I102" i="2"/>
  <c r="E102" i="2" s="1"/>
  <c r="K101" i="2"/>
  <c r="E101" i="2" s="1"/>
  <c r="T85" i="2"/>
  <c r="T79" i="2"/>
  <c r="T110" i="2"/>
  <c r="G86" i="2"/>
  <c r="E86" i="2" s="1"/>
  <c r="G79" i="2"/>
  <c r="E79" i="2" s="1"/>
  <c r="G78" i="2"/>
  <c r="E78" i="2" s="1"/>
  <c r="K105" i="2"/>
  <c r="E105" i="2" s="1"/>
  <c r="K104" i="2"/>
  <c r="E104" i="2" s="1"/>
  <c r="G85" i="2"/>
  <c r="E85" i="2" s="1"/>
  <c r="G75" i="2"/>
  <c r="E75" i="2" s="1"/>
  <c r="G82" i="2"/>
  <c r="E82" i="2" s="1"/>
  <c r="I108" i="2"/>
  <c r="E108" i="2" s="1"/>
  <c r="I92" i="2"/>
  <c r="E92" i="2" s="1"/>
  <c r="I107" i="2"/>
  <c r="E107" i="2" s="1"/>
  <c r="G80" i="2"/>
  <c r="E80" i="2" s="1"/>
  <c r="G73" i="2"/>
  <c r="E73" i="2" s="1"/>
  <c r="G91" i="2"/>
  <c r="E91" i="2" s="1"/>
  <c r="T126" i="2"/>
  <c r="T133" i="2"/>
  <c r="G83" i="2"/>
  <c r="E83" i="2" s="1"/>
  <c r="G81" i="2"/>
  <c r="E81" i="2" s="1"/>
  <c r="T135" i="2"/>
  <c r="R135" i="2"/>
  <c r="T75" i="2"/>
  <c r="G76" i="2"/>
  <c r="E76" i="2" s="1"/>
  <c r="T91" i="2"/>
  <c r="T129" i="2"/>
  <c r="T112" i="2"/>
  <c r="T116" i="2"/>
  <c r="R131" i="2"/>
  <c r="T100" i="2"/>
  <c r="T109" i="2"/>
  <c r="T78" i="2"/>
  <c r="T103" i="2"/>
  <c r="R133" i="2"/>
  <c r="G89" i="2"/>
  <c r="E89" i="2" s="1"/>
  <c r="T113" i="2"/>
  <c r="T108" i="2"/>
  <c r="R136" i="2"/>
  <c r="T120" i="2"/>
  <c r="T123" i="2"/>
  <c r="T131" i="2"/>
  <c r="R134" i="2"/>
  <c r="T76" i="2"/>
  <c r="T130" i="2"/>
  <c r="I98" i="2"/>
  <c r="K98" i="2"/>
  <c r="T136" i="2"/>
  <c r="T84" i="2"/>
  <c r="T77" i="2"/>
  <c r="G84" i="2"/>
  <c r="E84" i="2" s="1"/>
  <c r="I115" i="2"/>
  <c r="K112" i="2"/>
  <c r="E112" i="2" s="1"/>
  <c r="K120" i="2"/>
  <c r="E120" i="2" s="1"/>
  <c r="T82" i="2"/>
  <c r="T107" i="2"/>
  <c r="T88" i="2"/>
  <c r="T90" i="2"/>
  <c r="T99" i="2"/>
  <c r="T87" i="2"/>
  <c r="T119" i="2"/>
  <c r="T81" i="2"/>
  <c r="T106" i="2"/>
  <c r="R128" i="2"/>
  <c r="T74" i="2"/>
  <c r="T102" i="2"/>
  <c r="K119" i="2"/>
  <c r="E119" i="2" s="1"/>
  <c r="T117" i="2"/>
  <c r="T111" i="2"/>
  <c r="T114" i="2"/>
  <c r="R130" i="2"/>
  <c r="O125" i="2"/>
  <c r="T134" i="2"/>
  <c r="T127" i="2"/>
  <c r="T125" i="2"/>
  <c r="R125" i="2" l="1"/>
  <c r="E98" i="2"/>
  <c r="U137" i="2"/>
  <c r="E97" i="2"/>
  <c r="M71" i="3"/>
  <c r="L71" i="3" s="1"/>
  <c r="J114" i="2"/>
  <c r="L114" i="2"/>
  <c r="J122" i="2"/>
  <c r="L122" i="2"/>
  <c r="K123" i="2" s="1"/>
  <c r="J113" i="2"/>
  <c r="L113" i="2"/>
  <c r="J109" i="2"/>
  <c r="L109" i="2"/>
  <c r="J118" i="2"/>
  <c r="L118" i="2"/>
  <c r="J117" i="2"/>
  <c r="L117" i="2"/>
  <c r="L120" i="2"/>
  <c r="J120" i="2"/>
  <c r="J116" i="2"/>
  <c r="L116" i="2"/>
  <c r="J115" i="2"/>
  <c r="L115" i="2"/>
  <c r="J119" i="2"/>
  <c r="L119" i="2"/>
  <c r="J112" i="2"/>
  <c r="L112" i="2"/>
  <c r="J111" i="2"/>
  <c r="L111" i="2"/>
  <c r="J110" i="2"/>
  <c r="L110" i="2"/>
  <c r="J121" i="2"/>
  <c r="L121" i="2"/>
  <c r="U138" i="2"/>
  <c r="R124" i="2"/>
  <c r="U125" i="2" s="1"/>
  <c r="E96" i="2"/>
  <c r="J96" i="2" s="1"/>
  <c r="E94" i="2"/>
  <c r="L98" i="2"/>
  <c r="J95" i="3"/>
  <c r="H95" i="3"/>
  <c r="L95" i="2"/>
  <c r="H95" i="2"/>
  <c r="E93" i="2"/>
  <c r="H93" i="2" s="1"/>
  <c r="L102" i="2"/>
  <c r="U132" i="2"/>
  <c r="J108" i="2"/>
  <c r="U140" i="2"/>
  <c r="L101" i="2"/>
  <c r="J104" i="2"/>
  <c r="J103" i="2"/>
  <c r="L105" i="2"/>
  <c r="L106" i="2"/>
  <c r="T113" i="3"/>
  <c r="T119" i="3"/>
  <c r="U139" i="2"/>
  <c r="K94" i="3"/>
  <c r="T114" i="3"/>
  <c r="T111" i="3"/>
  <c r="T121" i="3"/>
  <c r="T115" i="3"/>
  <c r="T116" i="3"/>
  <c r="T117" i="3"/>
  <c r="H79" i="3"/>
  <c r="M79" i="3" s="1"/>
  <c r="L79" i="3" s="1"/>
  <c r="J81" i="3"/>
  <c r="M81" i="3" s="1"/>
  <c r="L81" i="3" s="1"/>
  <c r="J90" i="3"/>
  <c r="H76" i="3"/>
  <c r="M76" i="3" s="1"/>
  <c r="L76" i="3" s="1"/>
  <c r="H73" i="3"/>
  <c r="M73" i="3" s="1"/>
  <c r="L73" i="3" s="1"/>
  <c r="H78" i="3"/>
  <c r="M78" i="3" s="1"/>
  <c r="L78" i="3" s="1"/>
  <c r="H83" i="3"/>
  <c r="M83" i="3" s="1"/>
  <c r="L83" i="3" s="1"/>
  <c r="H84" i="3"/>
  <c r="M84" i="3" s="1"/>
  <c r="L84" i="3" s="1"/>
  <c r="J75" i="3"/>
  <c r="M75" i="3" s="1"/>
  <c r="L75" i="3" s="1"/>
  <c r="H85" i="3"/>
  <c r="M85" i="3" s="1"/>
  <c r="L85" i="3" s="1"/>
  <c r="H91" i="3"/>
  <c r="M91" i="3" s="1"/>
  <c r="L91" i="3" s="1"/>
  <c r="J92" i="3"/>
  <c r="M92" i="3" s="1"/>
  <c r="L92" i="3" s="1"/>
  <c r="J89" i="3"/>
  <c r="M89" i="3" s="1"/>
  <c r="L89" i="3" s="1"/>
  <c r="H86" i="3"/>
  <c r="M86" i="3" s="1"/>
  <c r="L86" i="3" s="1"/>
  <c r="H74" i="3"/>
  <c r="M74" i="3" s="1"/>
  <c r="L74" i="3" s="1"/>
  <c r="J93" i="3"/>
  <c r="K93" i="3" s="1"/>
  <c r="J72" i="3"/>
  <c r="K72" i="3" s="1"/>
  <c r="J82" i="3"/>
  <c r="M82" i="3" s="1"/>
  <c r="L82" i="3" s="1"/>
  <c r="J87" i="3"/>
  <c r="K87" i="3" s="1"/>
  <c r="J77" i="3"/>
  <c r="M77" i="3" s="1"/>
  <c r="L77" i="3" s="1"/>
  <c r="J88" i="3"/>
  <c r="K88" i="3" s="1"/>
  <c r="N94" i="3"/>
  <c r="H80" i="3"/>
  <c r="M80" i="3" s="1"/>
  <c r="L80" i="3" s="1"/>
  <c r="U133" i="2"/>
  <c r="J106" i="2"/>
  <c r="U130" i="2"/>
  <c r="U128" i="2"/>
  <c r="U134" i="2"/>
  <c r="U136" i="2"/>
  <c r="U131" i="2"/>
  <c r="U129" i="2"/>
  <c r="R126" i="2"/>
  <c r="U135" i="2"/>
  <c r="J107" i="2"/>
  <c r="L107" i="2"/>
  <c r="H92" i="2"/>
  <c r="J92" i="2"/>
  <c r="L103" i="2"/>
  <c r="J100" i="2"/>
  <c r="L100" i="2"/>
  <c r="J105" i="2"/>
  <c r="L108" i="2"/>
  <c r="J99" i="2"/>
  <c r="L99" i="2"/>
  <c r="J74" i="2"/>
  <c r="H74" i="2"/>
  <c r="J76" i="2"/>
  <c r="H76" i="2"/>
  <c r="J79" i="2"/>
  <c r="H79" i="2"/>
  <c r="H75" i="2"/>
  <c r="J75" i="2"/>
  <c r="H85" i="2"/>
  <c r="J85" i="2"/>
  <c r="J91" i="2"/>
  <c r="H91" i="2"/>
  <c r="J73" i="2"/>
  <c r="H73" i="2"/>
  <c r="J90" i="2"/>
  <c r="H90" i="2"/>
  <c r="J84" i="2"/>
  <c r="H84" i="2"/>
  <c r="J78" i="2"/>
  <c r="H78" i="2"/>
  <c r="J89" i="2"/>
  <c r="H89" i="2"/>
  <c r="H77" i="2"/>
  <c r="J77" i="2"/>
  <c r="J86" i="2"/>
  <c r="H86" i="2"/>
  <c r="J80" i="2"/>
  <c r="H80" i="2"/>
  <c r="J83" i="2"/>
  <c r="H83" i="2"/>
  <c r="H82" i="2"/>
  <c r="J82" i="2"/>
  <c r="H87" i="2"/>
  <c r="J87" i="2"/>
  <c r="J81" i="2"/>
  <c r="H81" i="2"/>
  <c r="J88" i="2"/>
  <c r="H88" i="2"/>
  <c r="E123" i="2" l="1"/>
  <c r="L123" i="2" s="1"/>
  <c r="K124" i="2" s="1"/>
  <c r="J123" i="2"/>
  <c r="M88" i="3"/>
  <c r="L88" i="3" s="1"/>
  <c r="M93" i="3"/>
  <c r="L93" i="3" s="1"/>
  <c r="N81" i="3"/>
  <c r="M87" i="3"/>
  <c r="L87" i="3" s="1"/>
  <c r="M90" i="3"/>
  <c r="L90" i="3" s="1"/>
  <c r="M72" i="3"/>
  <c r="L72" i="3" s="1"/>
  <c r="N122" i="2"/>
  <c r="H122" i="2" s="1"/>
  <c r="N117" i="2"/>
  <c r="H117" i="2" s="1"/>
  <c r="G118" i="2" s="1"/>
  <c r="N114" i="2"/>
  <c r="H114" i="2" s="1"/>
  <c r="G115" i="2" s="1"/>
  <c r="N108" i="2"/>
  <c r="H108" i="2" s="1"/>
  <c r="G109" i="2" s="1"/>
  <c r="N105" i="2"/>
  <c r="H105" i="2" s="1"/>
  <c r="G106" i="2" s="1"/>
  <c r="J93" i="2"/>
  <c r="N93" i="2" s="1"/>
  <c r="L93" i="2" s="1"/>
  <c r="K94" i="2" s="1"/>
  <c r="J102" i="2"/>
  <c r="N102" i="2" s="1"/>
  <c r="H102" i="2" s="1"/>
  <c r="G103" i="2" s="1"/>
  <c r="N111" i="2"/>
  <c r="J101" i="2"/>
  <c r="N101" i="2" s="1"/>
  <c r="O101" i="2" s="1"/>
  <c r="N103" i="2"/>
  <c r="H103" i="2" s="1"/>
  <c r="G104" i="2" s="1"/>
  <c r="L104" i="2"/>
  <c r="N104" i="2" s="1"/>
  <c r="M104" i="2" s="1"/>
  <c r="N106" i="2"/>
  <c r="H106" i="2" s="1"/>
  <c r="G107" i="2" s="1"/>
  <c r="N112" i="2"/>
  <c r="H112" i="2" s="1"/>
  <c r="G113" i="2" s="1"/>
  <c r="N110" i="2"/>
  <c r="M110" i="2" s="1"/>
  <c r="K92" i="3"/>
  <c r="K89" i="3"/>
  <c r="K77" i="3"/>
  <c r="K90" i="3"/>
  <c r="N71" i="3"/>
  <c r="K71" i="3"/>
  <c r="N86" i="3"/>
  <c r="K86" i="3"/>
  <c r="K85" i="3"/>
  <c r="N78" i="3"/>
  <c r="K78" i="3"/>
  <c r="N73" i="3"/>
  <c r="K73" i="3"/>
  <c r="N79" i="3"/>
  <c r="K79" i="3"/>
  <c r="K81" i="3"/>
  <c r="K82" i="3"/>
  <c r="N80" i="3"/>
  <c r="K80" i="3"/>
  <c r="N84" i="3"/>
  <c r="K84" i="3"/>
  <c r="N76" i="3"/>
  <c r="K76" i="3"/>
  <c r="K75" i="3"/>
  <c r="N74" i="3"/>
  <c r="K74" i="3"/>
  <c r="N91" i="3"/>
  <c r="K91" i="3"/>
  <c r="N83" i="3"/>
  <c r="K83" i="3"/>
  <c r="N89" i="3"/>
  <c r="N75" i="3"/>
  <c r="N92" i="3"/>
  <c r="N77" i="3"/>
  <c r="N82" i="3"/>
  <c r="L96" i="2"/>
  <c r="N96" i="2" s="1"/>
  <c r="H96" i="2" s="1"/>
  <c r="N120" i="2"/>
  <c r="H120" i="2" s="1"/>
  <c r="G121" i="2" s="1"/>
  <c r="N121" i="2"/>
  <c r="H121" i="2" s="1"/>
  <c r="J94" i="2"/>
  <c r="H94" i="2"/>
  <c r="L97" i="2"/>
  <c r="J97" i="2"/>
  <c r="N116" i="2"/>
  <c r="J98" i="2"/>
  <c r="N98" i="2" s="1"/>
  <c r="H98" i="2" s="1"/>
  <c r="G99" i="2" s="1"/>
  <c r="U126" i="2"/>
  <c r="U127" i="2"/>
  <c r="N100" i="2"/>
  <c r="O100" i="2" s="1"/>
  <c r="N119" i="2"/>
  <c r="O119" i="2" s="1"/>
  <c r="N107" i="2"/>
  <c r="M107" i="2" s="1"/>
  <c r="N118" i="2"/>
  <c r="N92" i="2"/>
  <c r="L92" i="2" s="1"/>
  <c r="K93" i="2" s="1"/>
  <c r="N99" i="2"/>
  <c r="M99" i="2" s="1"/>
  <c r="N115" i="2"/>
  <c r="M115" i="2" s="1"/>
  <c r="N109" i="2"/>
  <c r="N113" i="2"/>
  <c r="H113" i="2" s="1"/>
  <c r="G114" i="2" s="1"/>
  <c r="N88" i="2"/>
  <c r="O88" i="2" s="1"/>
  <c r="N83" i="2"/>
  <c r="L83" i="2" s="1"/>
  <c r="K84" i="2" s="1"/>
  <c r="N86" i="2"/>
  <c r="L86" i="2" s="1"/>
  <c r="K87" i="2" s="1"/>
  <c r="N89" i="2"/>
  <c r="M89" i="2" s="1"/>
  <c r="N84" i="2"/>
  <c r="M84" i="2" s="1"/>
  <c r="N76" i="2"/>
  <c r="M76" i="2" s="1"/>
  <c r="N81" i="2"/>
  <c r="M81" i="2" s="1"/>
  <c r="N80" i="2"/>
  <c r="M80" i="2" s="1"/>
  <c r="N78" i="2"/>
  <c r="L78" i="2" s="1"/>
  <c r="K79" i="2" s="1"/>
  <c r="N90" i="2"/>
  <c r="M90" i="2" s="1"/>
  <c r="N91" i="2"/>
  <c r="O91" i="2" s="1"/>
  <c r="N79" i="2"/>
  <c r="O79" i="2" s="1"/>
  <c r="N74" i="2"/>
  <c r="O74" i="2" s="1"/>
  <c r="N72" i="2"/>
  <c r="O72" i="2" s="1"/>
  <c r="N73" i="2"/>
  <c r="L73" i="2" s="1"/>
  <c r="K74" i="2" s="1"/>
  <c r="L89" i="2"/>
  <c r="K90" i="2" s="1"/>
  <c r="N87" i="2"/>
  <c r="N85" i="2"/>
  <c r="L85" i="2" s="1"/>
  <c r="K86" i="2" s="1"/>
  <c r="N82" i="2"/>
  <c r="N77" i="2"/>
  <c r="N75" i="2"/>
  <c r="L75" i="2" s="1"/>
  <c r="K76" i="2" s="1"/>
  <c r="H123" i="2" l="1"/>
  <c r="G124" i="2" s="1"/>
  <c r="I124" i="2"/>
  <c r="E124" i="2"/>
  <c r="L124" i="2" s="1"/>
  <c r="K125" i="2" s="1"/>
  <c r="J124" i="2"/>
  <c r="Q82" i="3"/>
  <c r="N90" i="3"/>
  <c r="Q90" i="3" s="1"/>
  <c r="O105" i="2"/>
  <c r="N97" i="2"/>
  <c r="H101" i="2"/>
  <c r="G102" i="2" s="1"/>
  <c r="O108" i="2"/>
  <c r="M108" i="2"/>
  <c r="O117" i="2"/>
  <c r="M101" i="2"/>
  <c r="O104" i="2"/>
  <c r="M105" i="2"/>
  <c r="H111" i="2"/>
  <c r="G112" i="2" s="1"/>
  <c r="O111" i="2"/>
  <c r="M111" i="2"/>
  <c r="O103" i="2"/>
  <c r="M103" i="2"/>
  <c r="M117" i="2"/>
  <c r="H104" i="2"/>
  <c r="G105" i="2" s="1"/>
  <c r="M112" i="2"/>
  <c r="O112" i="2"/>
  <c r="O106" i="2"/>
  <c r="M106" i="2"/>
  <c r="O110" i="2"/>
  <c r="H110" i="2"/>
  <c r="G111" i="2" s="1"/>
  <c r="N85" i="3"/>
  <c r="Q86" i="3" s="1"/>
  <c r="Q80" i="3"/>
  <c r="Q84" i="3"/>
  <c r="Q75" i="3"/>
  <c r="Q92" i="3"/>
  <c r="Q76" i="3"/>
  <c r="Q106" i="3"/>
  <c r="Q78" i="3"/>
  <c r="Q97" i="3"/>
  <c r="Q81" i="3"/>
  <c r="Q101" i="3"/>
  <c r="Q83" i="3"/>
  <c r="Q98" i="3"/>
  <c r="Q103" i="3"/>
  <c r="Q79" i="3"/>
  <c r="N88" i="3"/>
  <c r="Q74" i="3"/>
  <c r="Q77" i="3"/>
  <c r="Q107" i="3"/>
  <c r="T108" i="3" s="1"/>
  <c r="Q102" i="3"/>
  <c r="N87" i="3"/>
  <c r="Q87" i="3" s="1"/>
  <c r="N93" i="3"/>
  <c r="N72" i="3"/>
  <c r="Q72" i="3" s="1"/>
  <c r="Q99" i="3"/>
  <c r="Q100" i="3"/>
  <c r="Q104" i="3"/>
  <c r="O121" i="2"/>
  <c r="M121" i="2"/>
  <c r="N94" i="2"/>
  <c r="L94" i="2" s="1"/>
  <c r="O93" i="2"/>
  <c r="M93" i="2"/>
  <c r="H97" i="2"/>
  <c r="G98" i="2" s="1"/>
  <c r="O96" i="2"/>
  <c r="M96" i="2"/>
  <c r="G97" i="2"/>
  <c r="O116" i="2"/>
  <c r="H116" i="2"/>
  <c r="G117" i="2" s="1"/>
  <c r="M116" i="2"/>
  <c r="H107" i="2"/>
  <c r="G108" i="2" s="1"/>
  <c r="R101" i="2"/>
  <c r="O115" i="2"/>
  <c r="H115" i="2"/>
  <c r="G116" i="2" s="1"/>
  <c r="O99" i="2"/>
  <c r="O98" i="2"/>
  <c r="O107" i="2"/>
  <c r="M98" i="2"/>
  <c r="H99" i="2"/>
  <c r="G100" i="2" s="1"/>
  <c r="H119" i="2"/>
  <c r="G120" i="2" s="1"/>
  <c r="M72" i="2"/>
  <c r="M100" i="2"/>
  <c r="H100" i="2"/>
  <c r="G101" i="2" s="1"/>
  <c r="M119" i="2"/>
  <c r="O118" i="2"/>
  <c r="M118" i="2"/>
  <c r="O120" i="2"/>
  <c r="M120" i="2"/>
  <c r="H118" i="2"/>
  <c r="G119" i="2" s="1"/>
  <c r="L79" i="2"/>
  <c r="K80" i="2" s="1"/>
  <c r="M79" i="2"/>
  <c r="O92" i="2"/>
  <c r="R92" i="2" s="1"/>
  <c r="M92" i="2"/>
  <c r="O89" i="2"/>
  <c r="R89" i="2" s="1"/>
  <c r="O80" i="2"/>
  <c r="R80" i="2" s="1"/>
  <c r="L84" i="2"/>
  <c r="K85" i="2" s="1"/>
  <c r="L80" i="2"/>
  <c r="K81" i="2" s="1"/>
  <c r="M78" i="2"/>
  <c r="L88" i="2"/>
  <c r="K89" i="2" s="1"/>
  <c r="M114" i="2"/>
  <c r="O114" i="2"/>
  <c r="O113" i="2"/>
  <c r="M113" i="2"/>
  <c r="M109" i="2"/>
  <c r="O109" i="2"/>
  <c r="M83" i="2"/>
  <c r="H109" i="2"/>
  <c r="G110" i="2" s="1"/>
  <c r="O84" i="2"/>
  <c r="M88" i="2"/>
  <c r="M102" i="2"/>
  <c r="O102" i="2"/>
  <c r="R102" i="2" s="1"/>
  <c r="M73" i="2"/>
  <c r="L91" i="2"/>
  <c r="K92" i="2" s="1"/>
  <c r="O83" i="2"/>
  <c r="L72" i="2"/>
  <c r="K73" i="2" s="1"/>
  <c r="M86" i="2"/>
  <c r="O86" i="2"/>
  <c r="O76" i="2"/>
  <c r="M91" i="2"/>
  <c r="L76" i="2"/>
  <c r="K77" i="2" s="1"/>
  <c r="L81" i="2"/>
  <c r="K82" i="2" s="1"/>
  <c r="O78" i="2"/>
  <c r="O81" i="2"/>
  <c r="R81" i="2" s="1"/>
  <c r="U81" i="2" s="1"/>
  <c r="M74" i="2"/>
  <c r="L90" i="2"/>
  <c r="K91" i="2" s="1"/>
  <c r="O90" i="2"/>
  <c r="L74" i="2"/>
  <c r="K75" i="2" s="1"/>
  <c r="O73" i="2"/>
  <c r="R73" i="2" s="1"/>
  <c r="M85" i="2"/>
  <c r="O85" i="2"/>
  <c r="L77" i="2"/>
  <c r="K78" i="2" s="1"/>
  <c r="O77" i="2"/>
  <c r="M77" i="2"/>
  <c r="O87" i="2"/>
  <c r="M87" i="2"/>
  <c r="O75" i="2"/>
  <c r="R75" i="2" s="1"/>
  <c r="M75" i="2"/>
  <c r="L82" i="2"/>
  <c r="K83" i="2" s="1"/>
  <c r="O82" i="2"/>
  <c r="R82" i="2" s="1"/>
  <c r="U82" i="2" s="1"/>
  <c r="M82" i="2"/>
  <c r="L87" i="2"/>
  <c r="K88" i="2" s="1"/>
  <c r="H124" i="2" l="1"/>
  <c r="G125" i="2" s="1"/>
  <c r="I125" i="2"/>
  <c r="J125" i="2"/>
  <c r="E125" i="2"/>
  <c r="L125" i="2" s="1"/>
  <c r="K126" i="2" s="1"/>
  <c r="T83" i="3"/>
  <c r="R106" i="2"/>
  <c r="Q91" i="3"/>
  <c r="T91" i="3" s="1"/>
  <c r="T81" i="3"/>
  <c r="R105" i="2"/>
  <c r="U106" i="2" s="1"/>
  <c r="R117" i="2"/>
  <c r="R112" i="2"/>
  <c r="R104" i="2"/>
  <c r="R118" i="2"/>
  <c r="R107" i="2"/>
  <c r="U107" i="2" s="1"/>
  <c r="R111" i="2"/>
  <c r="R113" i="2"/>
  <c r="Q85" i="3"/>
  <c r="T85" i="3" s="1"/>
  <c r="T80" i="3"/>
  <c r="T98" i="3"/>
  <c r="T102" i="3"/>
  <c r="T75" i="3"/>
  <c r="T76" i="3"/>
  <c r="T99" i="3"/>
  <c r="T100" i="3"/>
  <c r="T77" i="3"/>
  <c r="T107" i="3"/>
  <c r="T78" i="3"/>
  <c r="T104" i="3"/>
  <c r="T82" i="3"/>
  <c r="T79" i="3"/>
  <c r="T103" i="3"/>
  <c r="T84" i="3"/>
  <c r="T87" i="3"/>
  <c r="T101" i="3"/>
  <c r="Q73" i="3"/>
  <c r="T73" i="3" s="1"/>
  <c r="Q93" i="3"/>
  <c r="T93" i="3" s="1"/>
  <c r="Q94" i="3"/>
  <c r="Q88" i="3"/>
  <c r="T88" i="3" s="1"/>
  <c r="Q89" i="3"/>
  <c r="Q105" i="3"/>
  <c r="R121" i="2"/>
  <c r="R93" i="2"/>
  <c r="U93" i="2" s="1"/>
  <c r="O94" i="2"/>
  <c r="R94" i="2" s="1"/>
  <c r="M94" i="2"/>
  <c r="O97" i="2"/>
  <c r="R97" i="2" s="1"/>
  <c r="M97" i="2"/>
  <c r="U102" i="2"/>
  <c r="R87" i="2"/>
  <c r="R85" i="2"/>
  <c r="R90" i="2"/>
  <c r="U90" i="2" s="1"/>
  <c r="R78" i="2"/>
  <c r="R76" i="2"/>
  <c r="U76" i="2" s="1"/>
  <c r="R83" i="2"/>
  <c r="U83" i="2" s="1"/>
  <c r="R99" i="2"/>
  <c r="R88" i="2"/>
  <c r="R86" i="2"/>
  <c r="R109" i="2"/>
  <c r="R110" i="2"/>
  <c r="R114" i="2"/>
  <c r="R120" i="2"/>
  <c r="R115" i="2"/>
  <c r="R116" i="2"/>
  <c r="R74" i="2"/>
  <c r="U74" i="2" s="1"/>
  <c r="R100" i="2"/>
  <c r="R91" i="2"/>
  <c r="R77" i="2"/>
  <c r="R84" i="2"/>
  <c r="R103" i="2"/>
  <c r="R119" i="2"/>
  <c r="R108" i="2"/>
  <c r="R79" i="2"/>
  <c r="J126" i="2" l="1"/>
  <c r="E126" i="2"/>
  <c r="L126" i="2" s="1"/>
  <c r="K127" i="2" s="1"/>
  <c r="H125" i="2"/>
  <c r="G126" i="2" s="1"/>
  <c r="I126" i="2"/>
  <c r="T92" i="3"/>
  <c r="U105" i="2"/>
  <c r="U114" i="2"/>
  <c r="U118" i="2"/>
  <c r="U108" i="2"/>
  <c r="U112" i="2"/>
  <c r="U113" i="2"/>
  <c r="U119" i="2"/>
  <c r="T86" i="3"/>
  <c r="T94" i="3"/>
  <c r="T74" i="3"/>
  <c r="T105" i="3"/>
  <c r="T106" i="3"/>
  <c r="T89" i="3"/>
  <c r="T90" i="3"/>
  <c r="U100" i="2"/>
  <c r="U121" i="2"/>
  <c r="U94" i="2"/>
  <c r="U115" i="2"/>
  <c r="R98" i="2"/>
  <c r="U98" i="2" s="1"/>
  <c r="U79" i="2"/>
  <c r="U91" i="2"/>
  <c r="U77" i="2"/>
  <c r="U88" i="2"/>
  <c r="U85" i="2"/>
  <c r="U89" i="2"/>
  <c r="U84" i="2"/>
  <c r="U86" i="2"/>
  <c r="U78" i="2"/>
  <c r="U101" i="2"/>
  <c r="U120" i="2"/>
  <c r="U110" i="2"/>
  <c r="U111" i="2"/>
  <c r="U87" i="2"/>
  <c r="U109" i="2"/>
  <c r="U103" i="2"/>
  <c r="U104" i="2"/>
  <c r="U80" i="2"/>
  <c r="U116" i="2"/>
  <c r="U117" i="2"/>
  <c r="U75" i="2"/>
  <c r="U92" i="2"/>
  <c r="J127" i="2" l="1"/>
  <c r="E127" i="2"/>
  <c r="L127" i="2" s="1"/>
  <c r="K128" i="2" s="1"/>
  <c r="I127" i="2"/>
  <c r="H126" i="2"/>
  <c r="G127" i="2" s="1"/>
  <c r="U99" i="2"/>
  <c r="J128" i="2" l="1"/>
  <c r="E128" i="2"/>
  <c r="L128" i="2" s="1"/>
  <c r="K129" i="2" s="1"/>
  <c r="I128" i="2"/>
  <c r="H127" i="2"/>
  <c r="G128" i="2" s="1"/>
  <c r="N95" i="3"/>
  <c r="Q96" i="3" s="1"/>
  <c r="J129" i="2" l="1"/>
  <c r="E129" i="2"/>
  <c r="L129" i="2" s="1"/>
  <c r="K130" i="2" s="1"/>
  <c r="I129" i="2"/>
  <c r="H128" i="2"/>
  <c r="G129" i="2" s="1"/>
  <c r="T97" i="3"/>
  <c r="Q95" i="3"/>
  <c r="T95" i="3" s="1"/>
  <c r="J130" i="2" l="1"/>
  <c r="E130" i="2"/>
  <c r="L130" i="2" s="1"/>
  <c r="K131" i="2" s="1"/>
  <c r="I130" i="2"/>
  <c r="H129" i="2"/>
  <c r="G130" i="2" s="1"/>
  <c r="K95" i="3"/>
  <c r="E96" i="3"/>
  <c r="T96" i="3"/>
  <c r="E131" i="2" l="1"/>
  <c r="L131" i="2" s="1"/>
  <c r="K132" i="2" s="1"/>
  <c r="J131" i="2"/>
  <c r="H130" i="2"/>
  <c r="G131" i="2" s="1"/>
  <c r="I131" i="2"/>
  <c r="J96" i="3"/>
  <c r="H131" i="2" l="1"/>
  <c r="G132" i="2" s="1"/>
  <c r="I132" i="2"/>
  <c r="J132" i="2"/>
  <c r="E132" i="2"/>
  <c r="L132" i="2" s="1"/>
  <c r="K133" i="2" s="1"/>
  <c r="H96" i="3"/>
  <c r="E133" i="2" l="1"/>
  <c r="L133" i="2" s="1"/>
  <c r="K134" i="2" s="1"/>
  <c r="J133" i="2"/>
  <c r="I133" i="2"/>
  <c r="H132" i="2"/>
  <c r="G133" i="2" s="1"/>
  <c r="K96" i="3"/>
  <c r="E97" i="3"/>
  <c r="H133" i="2" l="1"/>
  <c r="G134" i="2" s="1"/>
  <c r="I134" i="2"/>
  <c r="E134" i="2"/>
  <c r="L134" i="2" s="1"/>
  <c r="K135" i="2" s="1"/>
  <c r="J134" i="2"/>
  <c r="J97" i="3"/>
  <c r="E135" i="2" l="1"/>
  <c r="L135" i="2" s="1"/>
  <c r="K136" i="2" s="1"/>
  <c r="J135" i="2"/>
  <c r="I135" i="2"/>
  <c r="H134" i="2"/>
  <c r="G135" i="2" s="1"/>
  <c r="H97" i="3"/>
  <c r="I136" i="2" l="1"/>
  <c r="H135" i="2"/>
  <c r="G136" i="2" s="1"/>
  <c r="E136" i="2"/>
  <c r="L136" i="2" s="1"/>
  <c r="K137" i="2" s="1"/>
  <c r="J136" i="2"/>
  <c r="K97" i="3"/>
  <c r="E98" i="3"/>
  <c r="I137" i="2" l="1"/>
  <c r="H136" i="2"/>
  <c r="G137" i="2" s="1"/>
  <c r="J137" i="2"/>
  <c r="E137" i="2"/>
  <c r="L137" i="2" s="1"/>
  <c r="K138" i="2" s="1"/>
  <c r="J98" i="3"/>
  <c r="H137" i="2" l="1"/>
  <c r="G138" i="2" s="1"/>
  <c r="I138" i="2"/>
  <c r="J138" i="2"/>
  <c r="E138" i="2"/>
  <c r="L138" i="2" s="1"/>
  <c r="K139" i="2" s="1"/>
  <c r="H98" i="3"/>
  <c r="J139" i="2" l="1"/>
  <c r="E139" i="2"/>
  <c r="L139" i="2" s="1"/>
  <c r="K140" i="2" s="1"/>
  <c r="I139" i="2"/>
  <c r="H138" i="2"/>
  <c r="G139" i="2" s="1"/>
  <c r="E99" i="3"/>
  <c r="K98" i="3"/>
  <c r="E140" i="2" l="1"/>
  <c r="L140" i="2" s="1"/>
  <c r="J140" i="2"/>
  <c r="H140" i="2" s="1"/>
  <c r="H139" i="2"/>
  <c r="G140" i="2" s="1"/>
  <c r="I140" i="2"/>
  <c r="J99" i="3"/>
  <c r="H99" i="3" l="1"/>
  <c r="K99" i="3" s="1"/>
  <c r="E100" i="3" l="1"/>
  <c r="J100" i="3" s="1"/>
  <c r="H100" i="3" l="1"/>
  <c r="K100" i="3" l="1"/>
  <c r="E101" i="3"/>
  <c r="J101" i="3" l="1"/>
  <c r="H101" i="3" l="1"/>
  <c r="E102" i="3" l="1"/>
  <c r="K101" i="3"/>
  <c r="J102" i="3" l="1"/>
  <c r="H102" i="3" l="1"/>
  <c r="E103" i="3" s="1"/>
  <c r="K102" i="3" l="1"/>
  <c r="J103" i="3"/>
  <c r="H103" i="3" l="1"/>
  <c r="E104" i="3" l="1"/>
  <c r="K103" i="3"/>
  <c r="J104" i="3" l="1"/>
  <c r="H104" i="3" l="1"/>
  <c r="K104" i="3" s="1"/>
  <c r="E105" i="3" l="1"/>
  <c r="J105" i="3" s="1"/>
  <c r="H105" i="3" l="1"/>
  <c r="K105" i="3" s="1"/>
  <c r="E106" i="3"/>
  <c r="J106" i="3" l="1"/>
  <c r="H106" i="3" l="1"/>
  <c r="K106" i="3" s="1"/>
  <c r="E107" i="3" l="1"/>
  <c r="J107" i="3" l="1"/>
  <c r="H107" i="3" l="1"/>
  <c r="K107" i="3" s="1"/>
  <c r="E108" i="3" l="1"/>
  <c r="J108" i="3" s="1"/>
  <c r="H108" i="3" l="1"/>
  <c r="E109" i="3" l="1"/>
  <c r="K108" i="3"/>
  <c r="J109" i="3" l="1"/>
  <c r="H109" i="3" l="1"/>
  <c r="E110" i="3" l="1"/>
  <c r="K109" i="3"/>
  <c r="J110" i="3" l="1"/>
  <c r="H110" i="3" l="1"/>
  <c r="E111" i="3" l="1"/>
  <c r="K110" i="3"/>
  <c r="J111" i="3" l="1"/>
  <c r="H111" i="3" l="1"/>
  <c r="E112" i="3" l="1"/>
  <c r="K111" i="3"/>
  <c r="J112" i="3" l="1"/>
  <c r="H112" i="3" l="1"/>
  <c r="E113" i="3" s="1"/>
  <c r="K112" i="3" l="1"/>
  <c r="J113" i="3"/>
  <c r="H113" i="3" l="1"/>
  <c r="K113" i="3" l="1"/>
  <c r="E114" i="3"/>
  <c r="J114" i="3" l="1"/>
  <c r="H114" i="3" l="1"/>
  <c r="E115" i="3" s="1"/>
  <c r="K114" i="3" l="1"/>
  <c r="J115" i="3"/>
  <c r="H115" i="3" l="1"/>
  <c r="K115" i="3" l="1"/>
  <c r="E116" i="3"/>
  <c r="J116" i="3" l="1"/>
  <c r="H116" i="3" l="1"/>
  <c r="E117" i="3" l="1"/>
  <c r="K116" i="3"/>
  <c r="J117" i="3" l="1"/>
  <c r="H117" i="3" l="1"/>
  <c r="K117" i="3" s="1"/>
  <c r="E118" i="3" l="1"/>
  <c r="J118" i="3" l="1"/>
  <c r="H118" i="3" l="1"/>
  <c r="E119" i="3" s="1"/>
  <c r="K118" i="3" l="1"/>
  <c r="J119" i="3"/>
  <c r="H119" i="3" l="1"/>
  <c r="E120" i="3" s="1"/>
  <c r="K119" i="3" l="1"/>
  <c r="J120" i="3"/>
  <c r="H120" i="3" l="1"/>
  <c r="E121" i="3" l="1"/>
  <c r="K120" i="3"/>
  <c r="J121" i="3" l="1"/>
  <c r="H121" i="3" l="1"/>
  <c r="K121" i="3" s="1"/>
  <c r="E122" i="3" l="1"/>
  <c r="J122" i="3" l="1"/>
  <c r="H122" i="3" l="1"/>
  <c r="K122" i="3" s="1"/>
  <c r="O95" i="2" l="1"/>
  <c r="G96" i="2"/>
  <c r="R95" i="2" l="1"/>
  <c r="U95" i="2" s="1"/>
  <c r="R96" i="2"/>
  <c r="U96" i="2" l="1"/>
  <c r="U97" i="2"/>
  <c r="I123" i="2"/>
  <c r="O122" i="2" l="1"/>
  <c r="M122" i="2"/>
  <c r="G123" i="2"/>
  <c r="R122" i="2" l="1"/>
  <c r="U122" i="2" s="1"/>
  <c r="R123" i="2"/>
  <c r="U124" i="2" l="1"/>
  <c r="U123" i="2"/>
</calcChain>
</file>

<file path=xl/sharedStrings.xml><?xml version="1.0" encoding="utf-8"?>
<sst xmlns="http://schemas.openxmlformats.org/spreadsheetml/2006/main" count="80" uniqueCount="48">
  <si>
    <t>cm3</t>
  </si>
  <si>
    <t># Meas</t>
  </si>
  <si>
    <t>d(pH)/dV</t>
  </si>
  <si>
    <t>&lt;V1&gt; /cm3</t>
  </si>
  <si>
    <t>1ª Derivada</t>
  </si>
  <si>
    <t>2ª Derivada</t>
  </si>
  <si>
    <t>[d(pH)]2/dV</t>
  </si>
  <si>
    <t>&lt;V2&gt; /cm3</t>
  </si>
  <si>
    <t>Ve1</t>
  </si>
  <si>
    <t>C_NaOH</t>
  </si>
  <si>
    <t>pKa2</t>
  </si>
  <si>
    <t>pKa1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</si>
  <si>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initial</t>
    </r>
    <r>
      <rPr>
        <b/>
        <sz val="11"/>
        <color theme="1"/>
        <rFont val="Calibri"/>
        <family val="2"/>
        <scheme val="minor"/>
      </rPr>
      <t>_(H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A+)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</si>
  <si>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eq</t>
    </r>
    <r>
      <rPr>
        <b/>
        <sz val="11"/>
        <color theme="1"/>
        <rFont val="Calibri"/>
        <family val="2"/>
        <scheme val="minor"/>
      </rPr>
      <t>_(H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A+)</t>
    </r>
  </si>
  <si>
    <t>pH (simulated)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</si>
  <si>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eq</t>
    </r>
    <r>
      <rPr>
        <b/>
        <sz val="11"/>
        <color theme="1"/>
        <rFont val="Calibri"/>
        <family val="2"/>
        <scheme val="minor"/>
      </rPr>
      <t>_(H</t>
    </r>
    <r>
      <rPr>
        <b/>
        <sz val="11"/>
        <color theme="1"/>
        <rFont val="Calibri"/>
        <family val="2"/>
        <scheme val="minor"/>
      </rPr>
      <t>+)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</si>
  <si>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initial</t>
    </r>
    <r>
      <rPr>
        <b/>
        <sz val="11"/>
        <color theme="1"/>
        <rFont val="Calibri"/>
        <family val="2"/>
        <scheme val="minor"/>
      </rPr>
      <t>_(H</t>
    </r>
    <r>
      <rPr>
        <b/>
        <sz val="11"/>
        <color theme="1"/>
        <rFont val="Calibri"/>
        <family val="2"/>
        <scheme val="minor"/>
      </rPr>
      <t>A)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</si>
  <si>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eq</t>
    </r>
    <r>
      <rPr>
        <b/>
        <sz val="11"/>
        <color theme="1"/>
        <rFont val="Calibri"/>
        <family val="2"/>
        <scheme val="minor"/>
      </rPr>
      <t>_(H</t>
    </r>
    <r>
      <rPr>
        <b/>
        <sz val="11"/>
        <color theme="1"/>
        <rFont val="Calibri"/>
        <family val="2"/>
        <scheme val="minor"/>
      </rPr>
      <t>A)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</si>
  <si>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initial</t>
    </r>
    <r>
      <rPr>
        <b/>
        <sz val="11"/>
        <color theme="1"/>
        <rFont val="Calibri"/>
        <family val="2"/>
        <scheme val="minor"/>
      </rPr>
      <t>_(A-)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</si>
  <si>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eq</t>
    </r>
    <r>
      <rPr>
        <b/>
        <sz val="11"/>
        <color theme="1"/>
        <rFont val="Calibri"/>
        <family val="2"/>
        <scheme val="minor"/>
      </rPr>
      <t>_(A-)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</si>
  <si>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eq</t>
    </r>
    <r>
      <rPr>
        <b/>
        <sz val="11"/>
        <color theme="1"/>
        <rFont val="Calibri"/>
        <family val="2"/>
        <scheme val="minor"/>
      </rPr>
      <t>_(OH-)</t>
    </r>
  </si>
  <si>
    <t>pKw</t>
  </si>
  <si>
    <t>Kw</t>
  </si>
  <si>
    <t>V_exp/Veq</t>
  </si>
  <si>
    <t>Vexp/cm3</t>
  </si>
  <si>
    <t>X</t>
  </si>
  <si>
    <t>f_diluição</t>
  </si>
  <si>
    <t>2xVe</t>
  </si>
  <si>
    <r>
      <t>Ka</t>
    </r>
    <r>
      <rPr>
        <b/>
        <vertAlign val="subscript"/>
        <sz val="14"/>
        <color theme="1"/>
        <rFont val="Calibri"/>
        <family val="2"/>
        <scheme val="minor"/>
      </rPr>
      <t>1</t>
    </r>
  </si>
  <si>
    <r>
      <t>Ka</t>
    </r>
    <r>
      <rPr>
        <b/>
        <vertAlign val="subscript"/>
        <sz val="14"/>
        <color theme="1"/>
        <rFont val="Calibri"/>
        <family val="2"/>
        <scheme val="minor"/>
      </rPr>
      <t>2</t>
    </r>
  </si>
  <si>
    <t>Concentration of Acid</t>
  </si>
  <si>
    <t>Simulation data Input</t>
  </si>
  <si>
    <t>Calculation:</t>
  </si>
  <si>
    <t>Vequivalent</t>
  </si>
  <si>
    <t>mol/dm3</t>
  </si>
  <si>
    <r>
      <rPr>
        <sz val="11"/>
        <color theme="1"/>
        <rFont val="Calibri"/>
        <family val="2"/>
        <scheme val="minor"/>
      </rPr>
      <t>Credits:</t>
    </r>
    <r>
      <rPr>
        <sz val="11"/>
        <color theme="0"/>
        <rFont val="Calibri"/>
        <family val="2"/>
        <scheme val="minor"/>
      </rPr>
      <t xml:space="preserve"> Luís M N B F Santos | 2020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</si>
  <si>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eq</t>
    </r>
    <r>
      <rPr>
        <b/>
        <sz val="11"/>
        <color theme="1"/>
        <rFont val="Calibri"/>
        <family val="2"/>
        <scheme val="minor"/>
      </rPr>
      <t>_(HA)</t>
    </r>
  </si>
  <si>
    <t xml:space="preserve">V_HA </t>
  </si>
  <si>
    <t>V_H2A+</t>
  </si>
  <si>
    <t>Ratio A/HA</t>
  </si>
  <si>
    <r>
      <t xml:space="preserve">    </t>
    </r>
    <r>
      <rPr>
        <b/>
        <sz val="48"/>
        <color theme="2" tint="-0.499984740745262"/>
        <rFont val="Calibri"/>
        <family val="2"/>
        <scheme val="minor"/>
      </rPr>
      <t>LABQF</t>
    </r>
    <r>
      <rPr>
        <b/>
        <sz val="48"/>
        <color theme="0"/>
        <rFont val="Calibri"/>
        <family val="2"/>
        <scheme val="minor"/>
      </rPr>
      <t xml:space="preserve">2020 </t>
    </r>
  </si>
  <si>
    <r>
      <t xml:space="preserve">     </t>
    </r>
    <r>
      <rPr>
        <b/>
        <sz val="48"/>
        <color theme="2" tint="-0.499984740745262"/>
        <rFont val="Calibri"/>
        <family val="2"/>
        <scheme val="minor"/>
      </rPr>
      <t>LABQF</t>
    </r>
    <r>
      <rPr>
        <b/>
        <sz val="48"/>
        <color theme="0"/>
        <rFont val="Calibri"/>
        <family val="2"/>
        <scheme val="minor"/>
      </rPr>
      <t xml:space="preserve">2020 </t>
    </r>
  </si>
  <si>
    <t xml:space="preserve">    IONIZATION EQUILIBRIUM SIMULATION</t>
  </si>
  <si>
    <t xml:space="preserve">     IONIZATION EQUILIBRIUM SIMULATION</t>
  </si>
  <si>
    <t>pH (simulation)</t>
  </si>
  <si>
    <t>1ª Derivate</t>
  </si>
  <si>
    <t>2ª Derivate</t>
  </si>
  <si>
    <t>Ver. #04/2020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</si>
</sst>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0"/>
    <numFmt numFmtId="166" formatCode="0.000E+00"/>
    <numFmt numFmtId="167" formatCode="0.0000E+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48"/>
      <color theme="2" tint="-0.499984740745262"/>
      <name val="Calibri"/>
      <family val="2"/>
      <scheme val="minor"/>
    </font>
    <font>
      <sz val="14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0" fontId="0" fillId="3" borderId="0" xfId="0" applyFill="1" applyBorder="1" applyAlignment="1">
      <alignment horizontal="center"/>
    </xf>
    <xf numFmtId="166" fontId="0" fillId="0" borderId="0" xfId="0" applyNumberFormat="1"/>
    <xf numFmtId="0" fontId="0" fillId="9" borderId="0" xfId="0" applyFill="1"/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13" xfId="0" applyBorder="1"/>
    <xf numFmtId="0" fontId="0" fillId="11" borderId="7" xfId="0" applyFill="1" applyBorder="1"/>
    <xf numFmtId="0" fontId="0" fillId="11" borderId="8" xfId="0" applyFill="1" applyBorder="1"/>
    <xf numFmtId="0" fontId="0" fillId="11" borderId="9" xfId="0" applyFill="1" applyBorder="1"/>
    <xf numFmtId="0" fontId="1" fillId="11" borderId="1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0" fontId="0" fillId="11" borderId="11" xfId="0" applyFill="1" applyBorder="1"/>
    <xf numFmtId="0" fontId="0" fillId="11" borderId="12" xfId="0" applyFill="1" applyBorder="1"/>
    <xf numFmtId="0" fontId="0" fillId="11" borderId="13" xfId="0" applyFill="1" applyBorder="1"/>
    <xf numFmtId="0" fontId="0" fillId="11" borderId="14" xfId="0" applyFill="1" applyBorder="1"/>
    <xf numFmtId="0" fontId="0" fillId="0" borderId="2" xfId="0" applyBorder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1" fontId="0" fillId="12" borderId="1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166" fontId="0" fillId="12" borderId="2" xfId="0" applyNumberFormat="1" applyFill="1" applyBorder="1" applyAlignment="1">
      <alignment horizontal="center"/>
    </xf>
    <xf numFmtId="11" fontId="0" fillId="14" borderId="2" xfId="0" applyNumberFormat="1" applyFill="1" applyBorder="1" applyAlignment="1">
      <alignment horizontal="center"/>
    </xf>
    <xf numFmtId="11" fontId="0" fillId="14" borderId="1" xfId="0" applyNumberFormat="1" applyFill="1" applyBorder="1" applyAlignment="1">
      <alignment horizontal="center"/>
    </xf>
    <xf numFmtId="11" fontId="0" fillId="8" borderId="2" xfId="0" applyNumberFormat="1" applyFill="1" applyBorder="1" applyAlignment="1">
      <alignment horizontal="center"/>
    </xf>
    <xf numFmtId="11" fontId="0" fillId="8" borderId="1" xfId="0" applyNumberFormat="1" applyFill="1" applyBorder="1" applyAlignment="1">
      <alignment horizontal="center"/>
    </xf>
    <xf numFmtId="11" fontId="2" fillId="4" borderId="1" xfId="0" applyNumberFormat="1" applyFont="1" applyFill="1" applyBorder="1" applyAlignment="1">
      <alignment horizontal="center"/>
    </xf>
    <xf numFmtId="11" fontId="0" fillId="6" borderId="1" xfId="0" applyNumberFormat="1" applyFill="1" applyBorder="1" applyAlignment="1">
      <alignment horizontal="center"/>
    </xf>
    <xf numFmtId="11" fontId="0" fillId="16" borderId="2" xfId="0" applyNumberFormat="1" applyFill="1" applyBorder="1" applyAlignment="1">
      <alignment horizontal="center"/>
    </xf>
    <xf numFmtId="11" fontId="0" fillId="16" borderId="1" xfId="0" applyNumberFormat="1" applyFill="1" applyBorder="1" applyAlignment="1">
      <alignment horizontal="center"/>
    </xf>
    <xf numFmtId="11" fontId="2" fillId="7" borderId="2" xfId="0" applyNumberFormat="1" applyFont="1" applyFill="1" applyBorder="1" applyAlignment="1">
      <alignment horizontal="center"/>
    </xf>
    <xf numFmtId="11" fontId="2" fillId="7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0" fontId="8" fillId="0" borderId="0" xfId="0" applyFont="1"/>
    <xf numFmtId="0" fontId="10" fillId="4" borderId="0" xfId="0" applyFont="1" applyFill="1"/>
    <xf numFmtId="0" fontId="8" fillId="0" borderId="0" xfId="0" applyFont="1" applyProtection="1"/>
    <xf numFmtId="0" fontId="0" fillId="3" borderId="18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167" fontId="0" fillId="13" borderId="1" xfId="0" applyNumberFormat="1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167" fontId="0" fillId="5" borderId="1" xfId="0" applyNumberFormat="1" applyFill="1" applyBorder="1" applyAlignment="1">
      <alignment horizontal="center"/>
    </xf>
    <xf numFmtId="1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1" fontId="5" fillId="4" borderId="23" xfId="0" applyNumberFormat="1" applyFont="1" applyFill="1" applyBorder="1" applyAlignment="1">
      <alignment horizontal="center"/>
    </xf>
    <xf numFmtId="2" fontId="2" fillId="4" borderId="24" xfId="0" applyNumberFormat="1" applyFont="1" applyFill="1" applyBorder="1" applyAlignment="1">
      <alignment horizontal="center"/>
    </xf>
    <xf numFmtId="1" fontId="1" fillId="15" borderId="23" xfId="0" applyNumberFormat="1" applyFont="1" applyFill="1" applyBorder="1" applyAlignment="1">
      <alignment horizontal="center"/>
    </xf>
    <xf numFmtId="2" fontId="0" fillId="3" borderId="24" xfId="0" applyNumberFormat="1" applyFill="1" applyBorder="1" applyAlignment="1">
      <alignment horizontal="center"/>
    </xf>
    <xf numFmtId="2" fontId="0" fillId="3" borderId="26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6" fillId="4" borderId="0" xfId="0" applyFont="1" applyFill="1" applyAlignment="1">
      <alignment horizontal="right"/>
    </xf>
    <xf numFmtId="2" fontId="0" fillId="4" borderId="0" xfId="0" applyNumberFormat="1" applyFill="1"/>
    <xf numFmtId="0" fontId="4" fillId="0" borderId="0" xfId="0" applyFont="1" applyAlignment="1" applyProtection="1">
      <alignment horizontal="left"/>
    </xf>
    <xf numFmtId="0" fontId="4" fillId="0" borderId="0" xfId="0" applyFont="1" applyAlignment="1">
      <alignment horizontal="left"/>
    </xf>
    <xf numFmtId="0" fontId="0" fillId="12" borderId="0" xfId="0" applyFill="1"/>
    <xf numFmtId="0" fontId="13" fillId="12" borderId="0" xfId="0" applyFont="1" applyFill="1"/>
    <xf numFmtId="165" fontId="15" fillId="4" borderId="0" xfId="0" applyNumberFormat="1" applyFont="1" applyFill="1" applyAlignment="1">
      <alignment horizontal="center"/>
    </xf>
    <xf numFmtId="2" fontId="14" fillId="4" borderId="0" xfId="0" applyNumberFormat="1" applyFont="1" applyFill="1" applyAlignment="1">
      <alignment horizontal="center"/>
    </xf>
    <xf numFmtId="0" fontId="0" fillId="15" borderId="0" xfId="0" applyFill="1"/>
    <xf numFmtId="165" fontId="0" fillId="15" borderId="1" xfId="0" applyNumberFormat="1" applyFill="1" applyBorder="1" applyAlignment="1">
      <alignment horizontal="center"/>
    </xf>
    <xf numFmtId="165" fontId="0" fillId="15" borderId="1" xfId="0" applyNumberFormat="1" applyFill="1" applyBorder="1"/>
    <xf numFmtId="165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1" fontId="1" fillId="2" borderId="23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3" xfId="0" applyFill="1" applyBorder="1"/>
    <xf numFmtId="0" fontId="0" fillId="3" borderId="0" xfId="0" applyFill="1" applyBorder="1"/>
    <xf numFmtId="0" fontId="11" fillId="3" borderId="7" xfId="0" applyFont="1" applyFill="1" applyBorder="1" applyAlignment="1">
      <alignment horizontal="right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1" fillId="10" borderId="4" xfId="0" applyFont="1" applyFill="1" applyBorder="1" applyAlignment="1">
      <alignment horizontal="center"/>
    </xf>
    <xf numFmtId="0" fontId="4" fillId="10" borderId="0" xfId="0" applyFont="1" applyFill="1" applyAlignment="1" applyProtection="1">
      <alignment horizontal="center"/>
      <protection hidden="1"/>
    </xf>
    <xf numFmtId="166" fontId="12" fillId="10" borderId="0" xfId="0" applyNumberFormat="1" applyFont="1" applyFill="1" applyAlignment="1" applyProtection="1">
      <alignment horizontal="center"/>
      <protection hidden="1"/>
    </xf>
    <xf numFmtId="0" fontId="4" fillId="10" borderId="0" xfId="0" applyFont="1" applyFill="1" applyAlignment="1" applyProtection="1">
      <alignment horizontal="right"/>
      <protection hidden="1"/>
    </xf>
    <xf numFmtId="2" fontId="12" fillId="10" borderId="0" xfId="0" applyNumberFormat="1" applyFont="1" applyFill="1" applyAlignment="1" applyProtection="1">
      <alignment horizontal="center"/>
      <protection hidden="1"/>
    </xf>
    <xf numFmtId="2" fontId="15" fillId="4" borderId="0" xfId="0" applyNumberFormat="1" applyFont="1" applyFill="1" applyAlignment="1">
      <alignment horizontal="center"/>
    </xf>
    <xf numFmtId="0" fontId="17" fillId="17" borderId="0" xfId="0" applyFont="1" applyFill="1" applyProtection="1"/>
    <xf numFmtId="0" fontId="18" fillId="17" borderId="0" xfId="0" applyFont="1" applyFill="1" applyAlignment="1">
      <alignment horizontal="center"/>
    </xf>
    <xf numFmtId="0" fontId="8" fillId="17" borderId="0" xfId="0" applyFont="1" applyFill="1" applyProtection="1"/>
    <xf numFmtId="0" fontId="0" fillId="17" borderId="0" xfId="0" applyFill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1" fontId="0" fillId="4" borderId="2" xfId="0" applyNumberFormat="1" applyFill="1" applyBorder="1" applyAlignment="1">
      <alignment horizontal="center"/>
    </xf>
    <xf numFmtId="11" fontId="1" fillId="8" borderId="1" xfId="0" applyNumberFormat="1" applyFont="1" applyFill="1" applyBorder="1" applyAlignment="1">
      <alignment horizontal="center"/>
    </xf>
    <xf numFmtId="167" fontId="2" fillId="7" borderId="1" xfId="0" applyNumberFormat="1" applyFont="1" applyFill="1" applyBorder="1" applyAlignment="1">
      <alignment horizontal="center"/>
    </xf>
    <xf numFmtId="164" fontId="14" fillId="4" borderId="0" xfId="0" applyNumberFormat="1" applyFont="1" applyFill="1" applyAlignment="1">
      <alignment horizontal="center"/>
    </xf>
    <xf numFmtId="2" fontId="3" fillId="4" borderId="2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2000" b="1"/>
              <a:t>pH</a:t>
            </a:r>
            <a:r>
              <a:rPr lang="pt-PT" sz="2000" b="1" baseline="0"/>
              <a:t> &amp; K  </a:t>
            </a:r>
            <a:r>
              <a:rPr lang="pt-PT" sz="2000" baseline="0"/>
              <a:t>= f (V_NaOH)</a:t>
            </a:r>
            <a:endParaRPr lang="pt-PT" sz="2000"/>
          </a:p>
        </c:rich>
      </c:tx>
      <c:layout>
        <c:manualLayout>
          <c:xMode val="edge"/>
          <c:yMode val="edge"/>
          <c:x val="9.4175888682295192E-2"/>
          <c:y val="8.0915290149057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2431697811761756"/>
          <c:y val="0.14643731590294709"/>
          <c:w val="0.76512810577341062"/>
          <c:h val="0.75552595764991204"/>
        </c:manualLayout>
      </c:layout>
      <c:scatterChart>
        <c:scatterStyle val="line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'T_Mprotic_Ac_B_simulation_ (2'!$D$71:$D$122</c:f>
              <c:numCache>
                <c:formatCode>0.00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15</c:v>
                </c:pt>
                <c:pt idx="11">
                  <c:v>16.5</c:v>
                </c:pt>
                <c:pt idx="12">
                  <c:v>18</c:v>
                </c:pt>
                <c:pt idx="13">
                  <c:v>19.5</c:v>
                </c:pt>
                <c:pt idx="14">
                  <c:v>21</c:v>
                </c:pt>
                <c:pt idx="15">
                  <c:v>22.5</c:v>
                </c:pt>
                <c:pt idx="16">
                  <c:v>24</c:v>
                </c:pt>
                <c:pt idx="17">
                  <c:v>25.5</c:v>
                </c:pt>
                <c:pt idx="18">
                  <c:v>27</c:v>
                </c:pt>
                <c:pt idx="19">
                  <c:v>27.900000000000002</c:v>
                </c:pt>
                <c:pt idx="20">
                  <c:v>28.5</c:v>
                </c:pt>
                <c:pt idx="21">
                  <c:v>29.099999999999998</c:v>
                </c:pt>
                <c:pt idx="22">
                  <c:v>29.7</c:v>
                </c:pt>
                <c:pt idx="23">
                  <c:v>30</c:v>
                </c:pt>
                <c:pt idx="24">
                  <c:v>30.3</c:v>
                </c:pt>
                <c:pt idx="25">
                  <c:v>30.6</c:v>
                </c:pt>
                <c:pt idx="26">
                  <c:v>31.200000000000003</c:v>
                </c:pt>
                <c:pt idx="27">
                  <c:v>32.1</c:v>
                </c:pt>
                <c:pt idx="28">
                  <c:v>33</c:v>
                </c:pt>
                <c:pt idx="29">
                  <c:v>34.5</c:v>
                </c:pt>
                <c:pt idx="30">
                  <c:v>36</c:v>
                </c:pt>
                <c:pt idx="31">
                  <c:v>37.5</c:v>
                </c:pt>
                <c:pt idx="32">
                  <c:v>39</c:v>
                </c:pt>
                <c:pt idx="33">
                  <c:v>40.5</c:v>
                </c:pt>
                <c:pt idx="34">
                  <c:v>42</c:v>
                </c:pt>
                <c:pt idx="35">
                  <c:v>43.5</c:v>
                </c:pt>
                <c:pt idx="36">
                  <c:v>45</c:v>
                </c:pt>
                <c:pt idx="37">
                  <c:v>46.5</c:v>
                </c:pt>
                <c:pt idx="38">
                  <c:v>48</c:v>
                </c:pt>
                <c:pt idx="39">
                  <c:v>49.5</c:v>
                </c:pt>
                <c:pt idx="40">
                  <c:v>51</c:v>
                </c:pt>
                <c:pt idx="41">
                  <c:v>52.5</c:v>
                </c:pt>
                <c:pt idx="42">
                  <c:v>54</c:v>
                </c:pt>
                <c:pt idx="43">
                  <c:v>55.5</c:v>
                </c:pt>
                <c:pt idx="44">
                  <c:v>57</c:v>
                </c:pt>
                <c:pt idx="45">
                  <c:v>58.5</c:v>
                </c:pt>
                <c:pt idx="46">
                  <c:v>60</c:v>
                </c:pt>
                <c:pt idx="47">
                  <c:v>61.499999999999993</c:v>
                </c:pt>
                <c:pt idx="48">
                  <c:v>63</c:v>
                </c:pt>
                <c:pt idx="49">
                  <c:v>64.5</c:v>
                </c:pt>
                <c:pt idx="50">
                  <c:v>66</c:v>
                </c:pt>
                <c:pt idx="51">
                  <c:v>67.5</c:v>
                </c:pt>
              </c:numCache>
            </c:numRef>
          </c:xVal>
          <c:yVal>
            <c:numRef>
              <c:f>'T_Mprotic_Ac_B_simulation_ (2'!$N$71:$N$122</c:f>
              <c:numCache>
                <c:formatCode>0.00</c:formatCode>
                <c:ptCount val="52"/>
                <c:pt idx="0">
                  <c:v>3.8030252869140453</c:v>
                </c:pt>
                <c:pt idx="1">
                  <c:v>4.7248466938949321</c:v>
                </c:pt>
                <c:pt idx="2">
                  <c:v>5.0467004658472447</c:v>
                </c:pt>
                <c:pt idx="3">
                  <c:v>5.2471080687569431</c:v>
                </c:pt>
                <c:pt idx="4">
                  <c:v>5.3981939502198006</c:v>
                </c:pt>
                <c:pt idx="5">
                  <c:v>5.523046622683335</c:v>
                </c:pt>
                <c:pt idx="6">
                  <c:v>5.6321432765969899</c:v>
                </c:pt>
                <c:pt idx="7">
                  <c:v>5.7312452426811378</c:v>
                </c:pt>
                <c:pt idx="8">
                  <c:v>5.8239796683455296</c:v>
                </c:pt>
                <c:pt idx="9">
                  <c:v>5.9129069263732292</c:v>
                </c:pt>
                <c:pt idx="10">
                  <c:v>6.0000469009901076</c:v>
                </c:pt>
                <c:pt idx="11">
                  <c:v>6.0871892404563166</c:v>
                </c:pt>
                <c:pt idx="12">
                  <c:v>6.1761240712061696</c:v>
                </c:pt>
                <c:pt idx="13">
                  <c:v>6.2688729330470112</c:v>
                </c:pt>
                <c:pt idx="14">
                  <c:v>6.3679998880235669</c:v>
                </c:pt>
                <c:pt idx="15">
                  <c:v>6.4771401702745885</c:v>
                </c:pt>
                <c:pt idx="16">
                  <c:v>6.6020746485029003</c:v>
                </c:pt>
                <c:pt idx="17">
                  <c:v>6.7533373041174114</c:v>
                </c:pt>
                <c:pt idx="18">
                  <c:v>6.9542445468262608</c:v>
                </c:pt>
                <c:pt idx="19">
                  <c:v>7.1233785402459642</c:v>
                </c:pt>
                <c:pt idx="20">
                  <c:v>7.2787367110468049</c:v>
                </c:pt>
                <c:pt idx="21">
                  <c:v>7.5096098667934186</c:v>
                </c:pt>
                <c:pt idx="22">
                  <c:v>7.9954782662917916</c:v>
                </c:pt>
                <c:pt idx="23">
                  <c:v>9.0495232286090737</c:v>
                </c:pt>
                <c:pt idx="24">
                  <c:v>10.696803942579512</c:v>
                </c:pt>
                <c:pt idx="25">
                  <c:v>10.995678626217357</c:v>
                </c:pt>
                <c:pt idx="26">
                  <c:v>11.292429823902063</c:v>
                </c:pt>
                <c:pt idx="27">
                  <c:v>11.529127694557339</c:v>
                </c:pt>
                <c:pt idx="28">
                  <c:v>11.67778070526608</c:v>
                </c:pt>
                <c:pt idx="29">
                  <c:v>11.843652799140076</c:v>
                </c:pt>
                <c:pt idx="30">
                  <c:v>11.958607314841775</c:v>
                </c:pt>
                <c:pt idx="31">
                  <c:v>12.045757490560675</c:v>
                </c:pt>
                <c:pt idx="32">
                  <c:v>12.11539341870207</c:v>
                </c:pt>
                <c:pt idx="33">
                  <c:v>12.173000182078539</c:v>
                </c:pt>
                <c:pt idx="34">
                  <c:v>12.221848749616356</c:v>
                </c:pt>
                <c:pt idx="35">
                  <c:v>12.264046429410811</c:v>
                </c:pt>
                <c:pt idx="36">
                  <c:v>12.301029995663981</c:v>
                </c:pt>
                <c:pt idx="37">
                  <c:v>12.333822509060289</c:v>
                </c:pt>
                <c:pt idx="38">
                  <c:v>12.363177902412826</c:v>
                </c:pt>
                <c:pt idx="39">
                  <c:v>12.389667482706047</c:v>
                </c:pt>
                <c:pt idx="40">
                  <c:v>12.413734275855269</c:v>
                </c:pt>
                <c:pt idx="41">
                  <c:v>12.435728569561437</c:v>
                </c:pt>
                <c:pt idx="42">
                  <c:v>12.455931955649724</c:v>
                </c:pt>
                <c:pt idx="43">
                  <c:v>12.474574065705783</c:v>
                </c:pt>
                <c:pt idx="44">
                  <c:v>12.49184451154037</c:v>
                </c:pt>
                <c:pt idx="45">
                  <c:v>12.507901589310684</c:v>
                </c:pt>
                <c:pt idx="46">
                  <c:v>12.522878745280337</c:v>
                </c:pt>
                <c:pt idx="47">
                  <c:v>12.536889459723152</c:v>
                </c:pt>
                <c:pt idx="48">
                  <c:v>12.550030991323952</c:v>
                </c:pt>
                <c:pt idx="49">
                  <c:v>12.562387286564011</c:v>
                </c:pt>
                <c:pt idx="50">
                  <c:v>12.574031267727719</c:v>
                </c:pt>
                <c:pt idx="51">
                  <c:v>12.585026652029182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68-443E-942A-DBD2782B2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81424"/>
        <c:axId val="2144082672"/>
      </c:scatterChart>
      <c:valAx>
        <c:axId val="214408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V_NaOH / cm3</a:t>
                </a:r>
              </a:p>
            </c:rich>
          </c:tx>
          <c:layout>
            <c:manualLayout>
              <c:xMode val="edge"/>
              <c:yMode val="edge"/>
              <c:x val="0.75871074849856357"/>
              <c:y val="0.96718670530120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2672"/>
        <c:crosses val="autoZero"/>
        <c:crossBetween val="midCat"/>
      </c:valAx>
      <c:valAx>
        <c:axId val="2144082672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2400"/>
                  <a:t>pH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1424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4802937550543973"/>
          <c:y val="0.33406183686895718"/>
          <c:w val="0.14548460519975109"/>
          <c:h val="0.11092384434272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2000" b="1"/>
              <a:t>1st</a:t>
            </a:r>
            <a:r>
              <a:rPr lang="pt-PT" sz="2000" b="1" baseline="0"/>
              <a:t> &amp; 2and derivative  </a:t>
            </a:r>
            <a:r>
              <a:rPr lang="pt-PT" sz="2000" baseline="0"/>
              <a:t>= f (V_NaOH)</a:t>
            </a:r>
            <a:endParaRPr lang="pt-PT" sz="2000"/>
          </a:p>
        </c:rich>
      </c:tx>
      <c:layout>
        <c:manualLayout>
          <c:xMode val="edge"/>
          <c:yMode val="edge"/>
          <c:x val="8.1777720494532941E-2"/>
          <c:y val="7.2979632809805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1437532829317798"/>
          <c:y val="0.15133506286170426"/>
          <c:w val="0.78009294844910293"/>
          <c:h val="0.74209041519893348"/>
        </c:manualLayout>
      </c:layout>
      <c:scatterChart>
        <c:scatterStyle val="lineMarker"/>
        <c:varyColors val="0"/>
        <c:ser>
          <c:idx val="0"/>
          <c:order val="0"/>
          <c:tx>
            <c:v>1st 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'T_Mprotic_Ac_B_simulation_ (2'!$P$72:$P$122</c:f>
              <c:numCache>
                <c:formatCode>0.0000</c:formatCode>
                <c:ptCount val="51"/>
                <c:pt idx="0">
                  <c:v>0.75</c:v>
                </c:pt>
                <c:pt idx="1">
                  <c:v>2.25</c:v>
                </c:pt>
                <c:pt idx="2">
                  <c:v>3.75</c:v>
                </c:pt>
                <c:pt idx="3">
                  <c:v>5.25</c:v>
                </c:pt>
                <c:pt idx="4">
                  <c:v>6.75</c:v>
                </c:pt>
                <c:pt idx="5">
                  <c:v>8.25</c:v>
                </c:pt>
                <c:pt idx="6">
                  <c:v>9.75</c:v>
                </c:pt>
                <c:pt idx="7">
                  <c:v>11.25</c:v>
                </c:pt>
                <c:pt idx="8">
                  <c:v>12.75</c:v>
                </c:pt>
                <c:pt idx="9">
                  <c:v>14.25</c:v>
                </c:pt>
                <c:pt idx="10">
                  <c:v>15.75</c:v>
                </c:pt>
                <c:pt idx="11">
                  <c:v>17.25</c:v>
                </c:pt>
                <c:pt idx="12">
                  <c:v>18.75</c:v>
                </c:pt>
                <c:pt idx="13">
                  <c:v>20.25</c:v>
                </c:pt>
                <c:pt idx="14">
                  <c:v>21.75</c:v>
                </c:pt>
                <c:pt idx="15">
                  <c:v>23.25</c:v>
                </c:pt>
                <c:pt idx="16">
                  <c:v>24.75</c:v>
                </c:pt>
                <c:pt idx="17">
                  <c:v>26.25</c:v>
                </c:pt>
                <c:pt idx="18">
                  <c:v>27.450000000000003</c:v>
                </c:pt>
                <c:pt idx="19">
                  <c:v>28.200000000000003</c:v>
                </c:pt>
                <c:pt idx="20">
                  <c:v>28.799999999999997</c:v>
                </c:pt>
                <c:pt idx="21">
                  <c:v>29.4</c:v>
                </c:pt>
                <c:pt idx="22">
                  <c:v>29.85</c:v>
                </c:pt>
                <c:pt idx="23">
                  <c:v>30.15</c:v>
                </c:pt>
                <c:pt idx="24">
                  <c:v>30.450000000000003</c:v>
                </c:pt>
                <c:pt idx="25">
                  <c:v>30.900000000000002</c:v>
                </c:pt>
                <c:pt idx="26">
                  <c:v>31.650000000000002</c:v>
                </c:pt>
                <c:pt idx="27">
                  <c:v>32.549999999999997</c:v>
                </c:pt>
                <c:pt idx="28">
                  <c:v>33.75</c:v>
                </c:pt>
                <c:pt idx="29">
                  <c:v>35.25</c:v>
                </c:pt>
                <c:pt idx="30">
                  <c:v>36.75</c:v>
                </c:pt>
                <c:pt idx="31">
                  <c:v>38.25</c:v>
                </c:pt>
                <c:pt idx="32">
                  <c:v>39.75</c:v>
                </c:pt>
                <c:pt idx="33">
                  <c:v>41.25</c:v>
                </c:pt>
                <c:pt idx="34">
                  <c:v>42.75</c:v>
                </c:pt>
                <c:pt idx="35">
                  <c:v>44.25</c:v>
                </c:pt>
                <c:pt idx="36">
                  <c:v>45.75</c:v>
                </c:pt>
                <c:pt idx="37">
                  <c:v>47.25</c:v>
                </c:pt>
                <c:pt idx="38">
                  <c:v>48.75</c:v>
                </c:pt>
                <c:pt idx="39">
                  <c:v>50.25</c:v>
                </c:pt>
                <c:pt idx="40">
                  <c:v>51.75</c:v>
                </c:pt>
                <c:pt idx="41">
                  <c:v>53.25</c:v>
                </c:pt>
                <c:pt idx="42">
                  <c:v>54.75</c:v>
                </c:pt>
                <c:pt idx="43">
                  <c:v>56.25</c:v>
                </c:pt>
                <c:pt idx="44">
                  <c:v>57.75</c:v>
                </c:pt>
                <c:pt idx="45">
                  <c:v>59.25</c:v>
                </c:pt>
                <c:pt idx="46">
                  <c:v>60.75</c:v>
                </c:pt>
                <c:pt idx="47">
                  <c:v>62.25</c:v>
                </c:pt>
                <c:pt idx="48">
                  <c:v>63.75</c:v>
                </c:pt>
                <c:pt idx="49">
                  <c:v>65.25</c:v>
                </c:pt>
                <c:pt idx="50">
                  <c:v>66.75</c:v>
                </c:pt>
              </c:numCache>
            </c:numRef>
          </c:xVal>
          <c:yVal>
            <c:numRef>
              <c:f>'T_Mprotic_Ac_B_simulation_ (2'!$Q$72:$Q$122</c:f>
              <c:numCache>
                <c:formatCode>0.0000</c:formatCode>
                <c:ptCount val="51"/>
                <c:pt idx="0">
                  <c:v>18.436428139617735</c:v>
                </c:pt>
                <c:pt idx="1">
                  <c:v>6.4370754390462537</c:v>
                </c:pt>
                <c:pt idx="2">
                  <c:v>4.0081520581939687</c:v>
                </c:pt>
                <c:pt idx="3">
                  <c:v>3.0217176292571493</c:v>
                </c:pt>
                <c:pt idx="4">
                  <c:v>2.497053449270688</c:v>
                </c:pt>
                <c:pt idx="5">
                  <c:v>2.1819330782730977</c:v>
                </c:pt>
                <c:pt idx="6">
                  <c:v>1.9820393216829584</c:v>
                </c:pt>
                <c:pt idx="7">
                  <c:v>1.854688513287835</c:v>
                </c:pt>
                <c:pt idx="8">
                  <c:v>1.778545160553993</c:v>
                </c:pt>
                <c:pt idx="9">
                  <c:v>1.7427994923375683</c:v>
                </c:pt>
                <c:pt idx="10">
                  <c:v>1.7428467893241779</c:v>
                </c:pt>
                <c:pt idx="11">
                  <c:v>1.778696614997062</c:v>
                </c:pt>
                <c:pt idx="12">
                  <c:v>1.8549772368168311</c:v>
                </c:pt>
                <c:pt idx="13">
                  <c:v>1.9825390995311158</c:v>
                </c:pt>
                <c:pt idx="14">
                  <c:v>2.1828056450204318</c:v>
                </c:pt>
                <c:pt idx="15">
                  <c:v>2.4986895645662321</c:v>
                </c:pt>
                <c:pt idx="16">
                  <c:v>3.0252531122902266</c:v>
                </c:pt>
                <c:pt idx="17">
                  <c:v>4.0181448541769846</c:v>
                </c:pt>
                <c:pt idx="18">
                  <c:v>5.6377997806567741</c:v>
                </c:pt>
                <c:pt idx="19">
                  <c:v>7.7679085400420709</c:v>
                </c:pt>
                <c:pt idx="20">
                  <c:v>11.543657787330675</c:v>
                </c:pt>
                <c:pt idx="21">
                  <c:v>24.293419974918628</c:v>
                </c:pt>
                <c:pt idx="22">
                  <c:v>105.40449623172812</c:v>
                </c:pt>
                <c:pt idx="23">
                  <c:v>164.72807139704372</c:v>
                </c:pt>
                <c:pt idx="24">
                  <c:v>29.887468363784439</c:v>
                </c:pt>
                <c:pt idx="25">
                  <c:v>14.837559884235306</c:v>
                </c:pt>
                <c:pt idx="26">
                  <c:v>7.8899290218425051</c:v>
                </c:pt>
                <c:pt idx="27">
                  <c:v>4.9551003569580558</c:v>
                </c:pt>
                <c:pt idx="28">
                  <c:v>3.3174418774799128</c:v>
                </c:pt>
                <c:pt idx="29">
                  <c:v>2.2990903140339802</c:v>
                </c:pt>
                <c:pt idx="30">
                  <c:v>1.7430035143780016</c:v>
                </c:pt>
                <c:pt idx="31">
                  <c:v>1.3927185628278935</c:v>
                </c:pt>
                <c:pt idx="32">
                  <c:v>1.1521352675293872</c:v>
                </c:pt>
                <c:pt idx="33">
                  <c:v>0.97697135075634722</c:v>
                </c:pt>
                <c:pt idx="34">
                  <c:v>0.84395359588910346</c:v>
                </c:pt>
                <c:pt idx="35">
                  <c:v>0.73967132506339728</c:v>
                </c:pt>
                <c:pt idx="36">
                  <c:v>0.65585026792614742</c:v>
                </c:pt>
                <c:pt idx="37">
                  <c:v>0.58710786705073958</c:v>
                </c:pt>
                <c:pt idx="38">
                  <c:v>0.52979160586442664</c:v>
                </c:pt>
                <c:pt idx="39">
                  <c:v>0.48133586298444397</c:v>
                </c:pt>
                <c:pt idx="40">
                  <c:v>0.43988587412336205</c:v>
                </c:pt>
                <c:pt idx="41">
                  <c:v>0.40406772176574146</c:v>
                </c:pt>
                <c:pt idx="42">
                  <c:v>0.37284220112116595</c:v>
                </c:pt>
                <c:pt idx="43">
                  <c:v>0.34540891669173968</c:v>
                </c:pt>
                <c:pt idx="44">
                  <c:v>0.32114155540629213</c:v>
                </c:pt>
                <c:pt idx="45">
                  <c:v>0.29954311939306394</c:v>
                </c:pt>
                <c:pt idx="46">
                  <c:v>0.28021428885630073</c:v>
                </c:pt>
                <c:pt idx="47">
                  <c:v>0.26283063201599649</c:v>
                </c:pt>
                <c:pt idx="48">
                  <c:v>0.24712590480117402</c:v>
                </c:pt>
                <c:pt idx="49">
                  <c:v>0.23287962327415687</c:v>
                </c:pt>
                <c:pt idx="50">
                  <c:v>0.21990768602926003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BF-4C91-B8AC-46626057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81424"/>
        <c:axId val="2144082672"/>
      </c:scatterChart>
      <c:scatterChart>
        <c:scatterStyle val="lineMarker"/>
        <c:varyColors val="0"/>
        <c:ser>
          <c:idx val="1"/>
          <c:order val="1"/>
          <c:tx>
            <c:v>2and Der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'T_Mprotic_Ac_B_simulation_ (2'!$S$73:$S$122</c:f>
              <c:numCache>
                <c:formatCode>0.0000</c:formatCode>
                <c:ptCount val="50"/>
                <c:pt idx="0">
                  <c:v>1.5</c:v>
                </c:pt>
                <c:pt idx="1">
                  <c:v>3</c:v>
                </c:pt>
                <c:pt idx="2">
                  <c:v>4.5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10.5</c:v>
                </c:pt>
                <c:pt idx="7">
                  <c:v>12</c:v>
                </c:pt>
                <c:pt idx="8">
                  <c:v>13.5</c:v>
                </c:pt>
                <c:pt idx="9">
                  <c:v>15</c:v>
                </c:pt>
                <c:pt idx="10">
                  <c:v>16.5</c:v>
                </c:pt>
                <c:pt idx="11">
                  <c:v>18</c:v>
                </c:pt>
                <c:pt idx="12">
                  <c:v>19.5</c:v>
                </c:pt>
                <c:pt idx="13">
                  <c:v>21</c:v>
                </c:pt>
                <c:pt idx="14">
                  <c:v>22.5</c:v>
                </c:pt>
                <c:pt idx="15">
                  <c:v>24</c:v>
                </c:pt>
                <c:pt idx="16">
                  <c:v>25.5</c:v>
                </c:pt>
                <c:pt idx="17">
                  <c:v>26.85</c:v>
                </c:pt>
                <c:pt idx="18">
                  <c:v>27.825000000000003</c:v>
                </c:pt>
                <c:pt idx="19">
                  <c:v>28.5</c:v>
                </c:pt>
                <c:pt idx="20">
                  <c:v>29.099999999999998</c:v>
                </c:pt>
                <c:pt idx="21">
                  <c:v>29.625</c:v>
                </c:pt>
                <c:pt idx="22">
                  <c:v>30</c:v>
                </c:pt>
                <c:pt idx="23">
                  <c:v>30.3</c:v>
                </c:pt>
                <c:pt idx="24">
                  <c:v>30.675000000000004</c:v>
                </c:pt>
                <c:pt idx="25">
                  <c:v>31.275000000000002</c:v>
                </c:pt>
                <c:pt idx="26">
                  <c:v>32.1</c:v>
                </c:pt>
                <c:pt idx="27">
                  <c:v>33.15</c:v>
                </c:pt>
                <c:pt idx="28">
                  <c:v>34.5</c:v>
                </c:pt>
                <c:pt idx="29">
                  <c:v>36</c:v>
                </c:pt>
                <c:pt idx="30">
                  <c:v>37.5</c:v>
                </c:pt>
                <c:pt idx="31">
                  <c:v>39</c:v>
                </c:pt>
                <c:pt idx="32">
                  <c:v>40.5</c:v>
                </c:pt>
                <c:pt idx="33">
                  <c:v>42</c:v>
                </c:pt>
                <c:pt idx="34">
                  <c:v>43.5</c:v>
                </c:pt>
                <c:pt idx="35">
                  <c:v>45</c:v>
                </c:pt>
                <c:pt idx="36">
                  <c:v>46.5</c:v>
                </c:pt>
                <c:pt idx="37">
                  <c:v>48</c:v>
                </c:pt>
                <c:pt idx="38">
                  <c:v>49.5</c:v>
                </c:pt>
                <c:pt idx="39">
                  <c:v>51</c:v>
                </c:pt>
                <c:pt idx="40">
                  <c:v>52.5</c:v>
                </c:pt>
                <c:pt idx="41">
                  <c:v>54</c:v>
                </c:pt>
                <c:pt idx="42">
                  <c:v>55.5</c:v>
                </c:pt>
                <c:pt idx="43">
                  <c:v>57</c:v>
                </c:pt>
                <c:pt idx="44">
                  <c:v>58.5</c:v>
                </c:pt>
                <c:pt idx="45">
                  <c:v>60</c:v>
                </c:pt>
                <c:pt idx="46">
                  <c:v>61.5</c:v>
                </c:pt>
                <c:pt idx="47">
                  <c:v>63</c:v>
                </c:pt>
                <c:pt idx="48">
                  <c:v>64.5</c:v>
                </c:pt>
                <c:pt idx="49">
                  <c:v>66</c:v>
                </c:pt>
              </c:numCache>
            </c:numRef>
          </c:xVal>
          <c:yVal>
            <c:numRef>
              <c:f>'T_Mprotic_Ac_B_simulation_ (2'!$T$73:$T$122</c:f>
              <c:numCache>
                <c:formatCode>0.0000</c:formatCode>
                <c:ptCount val="50"/>
                <c:pt idx="0">
                  <c:v>-7.9995684670476548</c:v>
                </c:pt>
                <c:pt idx="1">
                  <c:v>-1.6192822539015232</c:v>
                </c:pt>
                <c:pt idx="2">
                  <c:v>-0.65762295262454629</c:v>
                </c:pt>
                <c:pt idx="3">
                  <c:v>-0.34977611999097419</c:v>
                </c:pt>
                <c:pt idx="4">
                  <c:v>-0.21008024733172684</c:v>
                </c:pt>
                <c:pt idx="5">
                  <c:v>-0.13326250439342621</c:v>
                </c:pt>
                <c:pt idx="6">
                  <c:v>-8.4900538930082245E-2</c:v>
                </c:pt>
                <c:pt idx="7">
                  <c:v>-5.0762235155894654E-2</c:v>
                </c:pt>
                <c:pt idx="8">
                  <c:v>-2.3830445477616518E-2</c:v>
                </c:pt>
                <c:pt idx="9">
                  <c:v>3.1531324406438209E-5</c:v>
                </c:pt>
                <c:pt idx="10">
                  <c:v>2.3899883781922721E-2</c:v>
                </c:pt>
                <c:pt idx="11">
                  <c:v>5.085374787984609E-2</c:v>
                </c:pt>
                <c:pt idx="12">
                  <c:v>8.5041241809523146E-2</c:v>
                </c:pt>
                <c:pt idx="13">
                  <c:v>0.13351103032621067</c:v>
                </c:pt>
                <c:pt idx="14">
                  <c:v>0.2105892796972002</c:v>
                </c:pt>
                <c:pt idx="15">
                  <c:v>0.35104236514932968</c:v>
                </c:pt>
                <c:pt idx="16">
                  <c:v>0.66192782792450533</c:v>
                </c:pt>
                <c:pt idx="17">
                  <c:v>1.3497124387331547</c:v>
                </c:pt>
                <c:pt idx="18">
                  <c:v>2.8401450125137289</c:v>
                </c:pt>
                <c:pt idx="19">
                  <c:v>6.2929154121477326</c:v>
                </c:pt>
                <c:pt idx="20">
                  <c:v>21.249603645979871</c:v>
                </c:pt>
                <c:pt idx="21">
                  <c:v>180.24683612624219</c:v>
                </c:pt>
                <c:pt idx="22">
                  <c:v>197.74525055105389</c:v>
                </c:pt>
                <c:pt idx="23">
                  <c:v>-449.46867677752454</c:v>
                </c:pt>
                <c:pt idx="24">
                  <c:v>-33.444241065664791</c:v>
                </c:pt>
                <c:pt idx="25">
                  <c:v>-9.2635078165237346</c:v>
                </c:pt>
                <c:pt idx="26">
                  <c:v>-3.2609207387605172</c:v>
                </c:pt>
                <c:pt idx="27">
                  <c:v>-1.364715399565116</c:v>
                </c:pt>
                <c:pt idx="28">
                  <c:v>-0.67890104229728843</c:v>
                </c:pt>
                <c:pt idx="29">
                  <c:v>-0.37072453310398573</c:v>
                </c:pt>
                <c:pt idx="30">
                  <c:v>-0.23352330103340538</c:v>
                </c:pt>
                <c:pt idx="31">
                  <c:v>-0.16038886353233753</c:v>
                </c:pt>
                <c:pt idx="32">
                  <c:v>-0.11677594451536</c:v>
                </c:pt>
                <c:pt idx="33">
                  <c:v>-8.8678503244829177E-2</c:v>
                </c:pt>
                <c:pt idx="34">
                  <c:v>-6.952151388380412E-2</c:v>
                </c:pt>
                <c:pt idx="35">
                  <c:v>-5.5880704758166568E-2</c:v>
                </c:pt>
                <c:pt idx="36">
                  <c:v>-4.5828267250271892E-2</c:v>
                </c:pt>
                <c:pt idx="37">
                  <c:v>-3.8210840790875299E-2</c:v>
                </c:pt>
                <c:pt idx="38">
                  <c:v>-3.2303828586655113E-2</c:v>
                </c:pt>
                <c:pt idx="39">
                  <c:v>-2.7633325907387946E-2</c:v>
                </c:pt>
                <c:pt idx="40">
                  <c:v>-2.3878768238413728E-2</c:v>
                </c:pt>
                <c:pt idx="41">
                  <c:v>-2.081701376305034E-2</c:v>
                </c:pt>
                <c:pt idx="42">
                  <c:v>-1.8288856286284183E-2</c:v>
                </c:pt>
                <c:pt idx="43">
                  <c:v>-1.6178240856965027E-2</c:v>
                </c:pt>
                <c:pt idx="44">
                  <c:v>-1.439895734215213E-2</c:v>
                </c:pt>
                <c:pt idx="45">
                  <c:v>-1.2885887024508805E-2</c:v>
                </c:pt>
                <c:pt idx="46">
                  <c:v>-1.1589104560202826E-2</c:v>
                </c:pt>
                <c:pt idx="47">
                  <c:v>-1.0469818143214979E-2</c:v>
                </c:pt>
                <c:pt idx="48">
                  <c:v>-9.4975210180114344E-3</c:v>
                </c:pt>
                <c:pt idx="49">
                  <c:v>-8.6479581632645606E-3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BF-4C91-B8AC-46626057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22272"/>
        <c:axId val="63319360"/>
      </c:scatterChart>
      <c:valAx>
        <c:axId val="214408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V_NaOH / cm3</a:t>
                </a:r>
              </a:p>
            </c:rich>
          </c:tx>
          <c:layout>
            <c:manualLayout>
              <c:xMode val="edge"/>
              <c:yMode val="edge"/>
              <c:x val="0.69904837639713968"/>
              <c:y val="0.94898092489206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2672"/>
        <c:crosses val="autoZero"/>
        <c:crossBetween val="midCat"/>
      </c:valAx>
      <c:valAx>
        <c:axId val="214408267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2400"/>
                  <a:t>1St Der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1424"/>
        <c:crosses val="autoZero"/>
        <c:crossBetween val="midCat"/>
      </c:valAx>
      <c:valAx>
        <c:axId val="633193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600"/>
                  <a:t>2and Der</a:t>
                </a:r>
              </a:p>
            </c:rich>
          </c:tx>
          <c:layout>
            <c:manualLayout>
              <c:xMode val="edge"/>
              <c:yMode val="edge"/>
              <c:x val="0.93270565717490805"/>
              <c:y val="0.43526076777431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3322272"/>
        <c:crosses val="max"/>
        <c:crossBetween val="midCat"/>
      </c:valAx>
      <c:valAx>
        <c:axId val="63322272"/>
        <c:scaling>
          <c:orientation val="minMax"/>
        </c:scaling>
        <c:delete val="1"/>
        <c:axPos val="b"/>
        <c:numFmt formatCode="0.0000" sourceLinked="1"/>
        <c:majorTickMark val="out"/>
        <c:minorTickMark val="none"/>
        <c:tickLblPos val="nextTo"/>
        <c:crossAx val="63319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334396357286375"/>
          <c:y val="0.20157737517887961"/>
          <c:w val="0.14548460519975109"/>
          <c:h val="7.4240761993707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2400" b="1"/>
              <a:t>Speciation Plot </a:t>
            </a:r>
            <a:r>
              <a:rPr lang="pt-PT" sz="2400" baseline="0"/>
              <a:t>= f (V_NaOH)</a:t>
            </a:r>
            <a:endParaRPr lang="pt-PT" sz="2400"/>
          </a:p>
        </c:rich>
      </c:tx>
      <c:layout>
        <c:manualLayout>
          <c:xMode val="edge"/>
          <c:yMode val="edge"/>
          <c:x val="9.4386931887556591E-2"/>
          <c:y val="8.128788356464032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995115320345628"/>
          <c:y val="0.16879264771079719"/>
          <c:w val="0.6546454027066223"/>
          <c:h val="0.73023487661390407"/>
        </c:manualLayout>
      </c:layout>
      <c:scatterChart>
        <c:scatterStyle val="lineMarker"/>
        <c:varyColors val="0"/>
        <c:ser>
          <c:idx val="1"/>
          <c:order val="0"/>
          <c:tx>
            <c:v>HA</c:v>
          </c:tx>
          <c:xVal>
            <c:numRef>
              <c:f>'T_Mprotic_Ac_B_simulation_ (2'!$D$71:$D$122</c:f>
              <c:numCache>
                <c:formatCode>0.00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15</c:v>
                </c:pt>
                <c:pt idx="11">
                  <c:v>16.5</c:v>
                </c:pt>
                <c:pt idx="12">
                  <c:v>18</c:v>
                </c:pt>
                <c:pt idx="13">
                  <c:v>19.5</c:v>
                </c:pt>
                <c:pt idx="14">
                  <c:v>21</c:v>
                </c:pt>
                <c:pt idx="15">
                  <c:v>22.5</c:v>
                </c:pt>
                <c:pt idx="16">
                  <c:v>24</c:v>
                </c:pt>
                <c:pt idx="17">
                  <c:v>25.5</c:v>
                </c:pt>
                <c:pt idx="18">
                  <c:v>27</c:v>
                </c:pt>
                <c:pt idx="19">
                  <c:v>27.900000000000002</c:v>
                </c:pt>
                <c:pt idx="20">
                  <c:v>28.5</c:v>
                </c:pt>
                <c:pt idx="21">
                  <c:v>29.099999999999998</c:v>
                </c:pt>
                <c:pt idx="22">
                  <c:v>29.7</c:v>
                </c:pt>
                <c:pt idx="23">
                  <c:v>30</c:v>
                </c:pt>
                <c:pt idx="24">
                  <c:v>30.3</c:v>
                </c:pt>
                <c:pt idx="25">
                  <c:v>30.6</c:v>
                </c:pt>
                <c:pt idx="26">
                  <c:v>31.200000000000003</c:v>
                </c:pt>
                <c:pt idx="27">
                  <c:v>32.1</c:v>
                </c:pt>
                <c:pt idx="28">
                  <c:v>33</c:v>
                </c:pt>
                <c:pt idx="29">
                  <c:v>34.5</c:v>
                </c:pt>
                <c:pt idx="30">
                  <c:v>36</c:v>
                </c:pt>
                <c:pt idx="31">
                  <c:v>37.5</c:v>
                </c:pt>
                <c:pt idx="32">
                  <c:v>39</c:v>
                </c:pt>
                <c:pt idx="33">
                  <c:v>40.5</c:v>
                </c:pt>
                <c:pt idx="34">
                  <c:v>42</c:v>
                </c:pt>
                <c:pt idx="35">
                  <c:v>43.5</c:v>
                </c:pt>
                <c:pt idx="36">
                  <c:v>45</c:v>
                </c:pt>
                <c:pt idx="37">
                  <c:v>46.5</c:v>
                </c:pt>
                <c:pt idx="38">
                  <c:v>48</c:v>
                </c:pt>
                <c:pt idx="39">
                  <c:v>49.5</c:v>
                </c:pt>
                <c:pt idx="40">
                  <c:v>51</c:v>
                </c:pt>
                <c:pt idx="41">
                  <c:v>52.5</c:v>
                </c:pt>
                <c:pt idx="42">
                  <c:v>54</c:v>
                </c:pt>
                <c:pt idx="43">
                  <c:v>55.5</c:v>
                </c:pt>
                <c:pt idx="44">
                  <c:v>57</c:v>
                </c:pt>
                <c:pt idx="45">
                  <c:v>58.5</c:v>
                </c:pt>
                <c:pt idx="46">
                  <c:v>60</c:v>
                </c:pt>
                <c:pt idx="47">
                  <c:v>61.499999999999993</c:v>
                </c:pt>
                <c:pt idx="48">
                  <c:v>63</c:v>
                </c:pt>
                <c:pt idx="49">
                  <c:v>64.5</c:v>
                </c:pt>
                <c:pt idx="50">
                  <c:v>66</c:v>
                </c:pt>
                <c:pt idx="51">
                  <c:v>67.5</c:v>
                </c:pt>
              </c:numCache>
            </c:numRef>
          </c:xVal>
          <c:yVal>
            <c:numRef>
              <c:f>'T_Mprotic_Ac_B_simulation_ (2'!$H$71:$H$122</c:f>
              <c:numCache>
                <c:formatCode>0.00E+00</c:formatCode>
                <c:ptCount val="52"/>
                <c:pt idx="0">
                  <c:v>9.9368643511378058E-2</c:v>
                </c:pt>
                <c:pt idx="1">
                  <c:v>9.0438547952371426E-2</c:v>
                </c:pt>
                <c:pt idx="2">
                  <c:v>8.1800401357580405E-2</c:v>
                </c:pt>
                <c:pt idx="3">
                  <c:v>7.3901915829967219E-2</c:v>
                </c:pt>
                <c:pt idx="4">
                  <c:v>6.6658869005417939E-2</c:v>
                </c:pt>
                <c:pt idx="5">
                  <c:v>5.9994201159599983E-2</c:v>
                </c:pt>
                <c:pt idx="6">
                  <c:v>5.3841687824516787E-2</c:v>
                </c:pt>
                <c:pt idx="7">
                  <c:v>4.8144634249653581E-2</c:v>
                </c:pt>
                <c:pt idx="8">
                  <c:v>4.2854343102109421E-2</c:v>
                </c:pt>
                <c:pt idx="9">
                  <c:v>3.7928790199010166E-2</c:v>
                </c:pt>
                <c:pt idx="10">
                  <c:v>3.3331533441323939E-2</c:v>
                </c:pt>
                <c:pt idx="11">
                  <c:v>2.9030821774473303E-2</c:v>
                </c:pt>
                <c:pt idx="12">
                  <c:v>2.4998866717034041E-2</c:v>
                </c:pt>
                <c:pt idx="13">
                  <c:v>2.1211244323289271E-2</c:v>
                </c:pt>
                <c:pt idx="14">
                  <c:v>1.7646401703470135E-2</c:v>
                </c:pt>
                <c:pt idx="15">
                  <c:v>1.4285247633565602E-2</c:v>
                </c:pt>
                <c:pt idx="16">
                  <c:v>1.1110811119548342E-2</c:v>
                </c:pt>
                <c:pt idx="17">
                  <c:v>8.1079551708476694E-3</c:v>
                </c:pt>
                <c:pt idx="18">
                  <c:v>5.263135673035867E-3</c:v>
                </c:pt>
                <c:pt idx="19">
                  <c:v>3.6269924664432207E-3</c:v>
                </c:pt>
                <c:pt idx="20">
                  <c:v>2.5641972988977623E-3</c:v>
                </c:pt>
                <c:pt idx="21">
                  <c:v>1.5229807810314838E-3</c:v>
                </c:pt>
                <c:pt idx="22">
                  <c:v>5.0269235714330799E-4</c:v>
                </c:pt>
                <c:pt idx="23">
                  <c:v>4.4611494831903822E-5</c:v>
                </c:pt>
                <c:pt idx="24">
                  <c:v>4.0199191198020401E-11</c:v>
                </c:pt>
                <c:pt idx="25">
                  <c:v>2.0199591999059407E-11</c:v>
                </c:pt>
                <c:pt idx="26">
                  <c:v>1.0199792399578911E-11</c:v>
                </c:pt>
                <c:pt idx="27">
                  <c:v>5.9141649910721128E-12</c:v>
                </c:pt>
                <c:pt idx="28">
                  <c:v>4.199911252111832E-12</c:v>
                </c:pt>
                <c:pt idx="29">
                  <c:v>2.8666027884760581E-12</c:v>
                </c:pt>
                <c:pt idx="30">
                  <c:v>2.199955495552075E-12</c:v>
                </c:pt>
                <c:pt idx="31">
                  <c:v>1.7999560175674389E-12</c:v>
                </c:pt>
                <c:pt idx="32">
                  <c:v>1.5332943248402842E-12</c:v>
                </c:pt>
                <c:pt idx="33">
                  <c:v>1.3428286260719347E-12</c:v>
                </c:pt>
                <c:pt idx="34">
                  <c:v>1.1999706783782926E-12</c:v>
                </c:pt>
                <c:pt idx="35">
                  <c:v>1.0888651091889301E-12</c:v>
                </c:pt>
                <c:pt idx="36">
                  <c:v>9.999778782798785E-13</c:v>
                </c:pt>
                <c:pt idx="37">
                  <c:v>9.2725133127302684E-13</c:v>
                </c:pt>
                <c:pt idx="38">
                  <c:v>8.666470319163011E-13</c:v>
                </c:pt>
                <c:pt idx="39">
                  <c:v>8.1536166707252278E-13</c:v>
                </c:pt>
                <c:pt idx="40">
                  <c:v>7.7141071308517439E-13</c:v>
                </c:pt>
                <c:pt idx="41">
                  <c:v>7.3331618555272371E-13</c:v>
                </c:pt>
                <c:pt idx="42">
                  <c:v>6.9998173923835338E-13</c:v>
                </c:pt>
                <c:pt idx="43">
                  <c:v>6.7056776797969064E-13</c:v>
                </c:pt>
                <c:pt idx="44">
                  <c:v>6.4442895464367211E-13</c:v>
                </c:pt>
                <c:pt idx="45">
                  <c:v>6.2103794329360085E-13</c:v>
                </c:pt>
                <c:pt idx="46">
                  <c:v>5.9998533918914632E-13</c:v>
                </c:pt>
                <c:pt idx="47">
                  <c:v>5.8093113652901707E-13</c:v>
                </c:pt>
                <c:pt idx="48">
                  <c:v>5.6361859623876853E-13</c:v>
                </c:pt>
                <c:pt idx="49">
                  <c:v>5.4781179592566787E-13</c:v>
                </c:pt>
                <c:pt idx="50">
                  <c:v>5.3331644656040567E-13</c:v>
                </c:pt>
                <c:pt idx="51">
                  <c:v>5.1998336192404793E-13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09-4952-AF89-E55CEE5D708D}"/>
            </c:ext>
          </c:extLst>
        </c:ser>
        <c:ser>
          <c:idx val="0"/>
          <c:order val="1"/>
          <c:tx>
            <c:v>A-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'T_Mprotic_Ac_B_simulation_ (2'!$D$71:$D$122</c:f>
              <c:numCache>
                <c:formatCode>0.00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15</c:v>
                </c:pt>
                <c:pt idx="11">
                  <c:v>16.5</c:v>
                </c:pt>
                <c:pt idx="12">
                  <c:v>18</c:v>
                </c:pt>
                <c:pt idx="13">
                  <c:v>19.5</c:v>
                </c:pt>
                <c:pt idx="14">
                  <c:v>21</c:v>
                </c:pt>
                <c:pt idx="15">
                  <c:v>22.5</c:v>
                </c:pt>
                <c:pt idx="16">
                  <c:v>24</c:v>
                </c:pt>
                <c:pt idx="17">
                  <c:v>25.5</c:v>
                </c:pt>
                <c:pt idx="18">
                  <c:v>27</c:v>
                </c:pt>
                <c:pt idx="19">
                  <c:v>27.900000000000002</c:v>
                </c:pt>
                <c:pt idx="20">
                  <c:v>28.5</c:v>
                </c:pt>
                <c:pt idx="21">
                  <c:v>29.099999999999998</c:v>
                </c:pt>
                <c:pt idx="22">
                  <c:v>29.7</c:v>
                </c:pt>
                <c:pt idx="23">
                  <c:v>30</c:v>
                </c:pt>
                <c:pt idx="24">
                  <c:v>30.3</c:v>
                </c:pt>
                <c:pt idx="25">
                  <c:v>30.6</c:v>
                </c:pt>
                <c:pt idx="26">
                  <c:v>31.200000000000003</c:v>
                </c:pt>
                <c:pt idx="27">
                  <c:v>32.1</c:v>
                </c:pt>
                <c:pt idx="28">
                  <c:v>33</c:v>
                </c:pt>
                <c:pt idx="29">
                  <c:v>34.5</c:v>
                </c:pt>
                <c:pt idx="30">
                  <c:v>36</c:v>
                </c:pt>
                <c:pt idx="31">
                  <c:v>37.5</c:v>
                </c:pt>
                <c:pt idx="32">
                  <c:v>39</c:v>
                </c:pt>
                <c:pt idx="33">
                  <c:v>40.5</c:v>
                </c:pt>
                <c:pt idx="34">
                  <c:v>42</c:v>
                </c:pt>
                <c:pt idx="35">
                  <c:v>43.5</c:v>
                </c:pt>
                <c:pt idx="36">
                  <c:v>45</c:v>
                </c:pt>
                <c:pt idx="37">
                  <c:v>46.5</c:v>
                </c:pt>
                <c:pt idx="38">
                  <c:v>48</c:v>
                </c:pt>
                <c:pt idx="39">
                  <c:v>49.5</c:v>
                </c:pt>
                <c:pt idx="40">
                  <c:v>51</c:v>
                </c:pt>
                <c:pt idx="41">
                  <c:v>52.5</c:v>
                </c:pt>
                <c:pt idx="42">
                  <c:v>54</c:v>
                </c:pt>
                <c:pt idx="43">
                  <c:v>55.5</c:v>
                </c:pt>
                <c:pt idx="44">
                  <c:v>57</c:v>
                </c:pt>
                <c:pt idx="45">
                  <c:v>58.5</c:v>
                </c:pt>
                <c:pt idx="46">
                  <c:v>60</c:v>
                </c:pt>
                <c:pt idx="47">
                  <c:v>61.499999999999993</c:v>
                </c:pt>
                <c:pt idx="48">
                  <c:v>63</c:v>
                </c:pt>
                <c:pt idx="49">
                  <c:v>64.5</c:v>
                </c:pt>
                <c:pt idx="50">
                  <c:v>66</c:v>
                </c:pt>
                <c:pt idx="51">
                  <c:v>67.5</c:v>
                </c:pt>
              </c:numCache>
            </c:numRef>
          </c:xVal>
          <c:yVal>
            <c:numRef>
              <c:f>'T_Mprotic_Ac_B_simulation_ (2'!$J$71:$J$122</c:f>
              <c:numCache>
                <c:formatCode>0.00E+00</c:formatCode>
                <c:ptCount val="52"/>
                <c:pt idx="0">
                  <c:v>6.3135648862194468E-4</c:v>
                </c:pt>
                <c:pt idx="1">
                  <c:v>4.7995472857238156E-3</c:v>
                </c:pt>
                <c:pt idx="2">
                  <c:v>9.1086895515105036E-3</c:v>
                </c:pt>
                <c:pt idx="3">
                  <c:v>1.3054605909163224E-2</c:v>
                </c:pt>
                <c:pt idx="4">
                  <c:v>1.66744643279154E-2</c:v>
                </c:pt>
                <c:pt idx="5">
                  <c:v>2.0005798840400033E-2</c:v>
                </c:pt>
                <c:pt idx="6">
                  <c:v>2.3081389098560147E-2</c:v>
                </c:pt>
                <c:pt idx="7">
                  <c:v>2.5929439824420492E-2</c:v>
                </c:pt>
                <c:pt idx="8">
                  <c:v>2.8574228326462014E-2</c:v>
                </c:pt>
                <c:pt idx="9">
                  <c:v>3.103672704236915E-2</c:v>
                </c:pt>
                <c:pt idx="10">
                  <c:v>3.3335133225342727E-2</c:v>
                </c:pt>
                <c:pt idx="11">
                  <c:v>3.5485307257784759E-2</c:v>
                </c:pt>
                <c:pt idx="12">
                  <c:v>3.7501133282965962E-2</c:v>
                </c:pt>
                <c:pt idx="13">
                  <c:v>3.939481628277134E-2</c:v>
                </c:pt>
                <c:pt idx="14">
                  <c:v>4.1177127708294577E-2</c:v>
                </c:pt>
                <c:pt idx="15">
                  <c:v>4.2857609509291544E-2</c:v>
                </c:pt>
                <c:pt idx="16">
                  <c:v>4.4444744436007218E-2</c:v>
                </c:pt>
                <c:pt idx="17">
                  <c:v>4.5946098883206388E-2</c:v>
                </c:pt>
                <c:pt idx="18">
                  <c:v>4.7368443274332553E-2</c:v>
                </c:pt>
                <c:pt idx="19">
                  <c:v>4.818647903614745E-2</c:v>
                </c:pt>
                <c:pt idx="20">
                  <c:v>4.8717853983153515E-2</c:v>
                </c:pt>
                <c:pt idx="21">
                  <c:v>4.9238440538765478E-2</c:v>
                </c:pt>
                <c:pt idx="22">
                  <c:v>4.9748563924263724E-2</c:v>
                </c:pt>
                <c:pt idx="23">
                  <c:v>4.9955388505168098E-2</c:v>
                </c:pt>
                <c:pt idx="24">
                  <c:v>4.9751243821293721E-2</c:v>
                </c:pt>
                <c:pt idx="25">
                  <c:v>4.9504950515249099E-2</c:v>
                </c:pt>
                <c:pt idx="26">
                  <c:v>4.9019607853337047E-2</c:v>
                </c:pt>
                <c:pt idx="27">
                  <c:v>4.8309178749875517E-2</c:v>
                </c:pt>
                <c:pt idx="28">
                  <c:v>4.7619047623247528E-2</c:v>
                </c:pt>
                <c:pt idx="29">
                  <c:v>4.6511627909843346E-2</c:v>
                </c:pt>
                <c:pt idx="30">
                  <c:v>4.5454545456745411E-2</c:v>
                </c:pt>
                <c:pt idx="31">
                  <c:v>4.4444444446244402E-2</c:v>
                </c:pt>
                <c:pt idx="32">
                  <c:v>4.3478260871098511E-2</c:v>
                </c:pt>
                <c:pt idx="33">
                  <c:v>4.2553191490704537E-2</c:v>
                </c:pt>
                <c:pt idx="34">
                  <c:v>4.1666666667866642E-2</c:v>
                </c:pt>
                <c:pt idx="35">
                  <c:v>4.0816326531701114E-2</c:v>
                </c:pt>
                <c:pt idx="36">
                  <c:v>4.0000000000999986E-2</c:v>
                </c:pt>
                <c:pt idx="37">
                  <c:v>3.9215686275437055E-2</c:v>
                </c:pt>
                <c:pt idx="38">
                  <c:v>3.8461538462405111E-2</c:v>
                </c:pt>
                <c:pt idx="39">
                  <c:v>3.7735849057419141E-2</c:v>
                </c:pt>
                <c:pt idx="40">
                  <c:v>3.7037037037808446E-2</c:v>
                </c:pt>
                <c:pt idx="41">
                  <c:v>3.6363636364369685E-2</c:v>
                </c:pt>
                <c:pt idx="42">
                  <c:v>3.5714285714985701E-2</c:v>
                </c:pt>
                <c:pt idx="43">
                  <c:v>3.508771929891618E-2</c:v>
                </c:pt>
                <c:pt idx="44">
                  <c:v>3.4482758621334091E-2</c:v>
                </c:pt>
                <c:pt idx="45">
                  <c:v>3.3898305085366801E-2</c:v>
                </c:pt>
                <c:pt idx="46">
                  <c:v>3.3333333333933318E-2</c:v>
                </c:pt>
                <c:pt idx="47">
                  <c:v>3.2786885246482572E-2</c:v>
                </c:pt>
                <c:pt idx="48">
                  <c:v>3.225806451669265E-2</c:v>
                </c:pt>
                <c:pt idx="49">
                  <c:v>3.1746031746579556E-2</c:v>
                </c:pt>
                <c:pt idx="50">
                  <c:v>3.1250000000533316E-2</c:v>
                </c:pt>
                <c:pt idx="51">
                  <c:v>3.0769230769750754E-2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09-4952-AF89-E55CEE5D7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81424"/>
        <c:axId val="2144082672"/>
      </c:scatterChart>
      <c:scatterChart>
        <c:scatterStyle val="lineMarker"/>
        <c:varyColors val="0"/>
        <c:ser>
          <c:idx val="2"/>
          <c:order val="2"/>
          <c:tx>
            <c:v>RATIO_HA_A-</c:v>
          </c:tx>
          <c:xVal>
            <c:numRef>
              <c:f>'T_Mprotic_Ac_B_simulation_ (2'!$D$71:$D$122</c:f>
              <c:numCache>
                <c:formatCode>0.00</c:formatCode>
                <c:ptCount val="52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15</c:v>
                </c:pt>
                <c:pt idx="11">
                  <c:v>16.5</c:v>
                </c:pt>
                <c:pt idx="12">
                  <c:v>18</c:v>
                </c:pt>
                <c:pt idx="13">
                  <c:v>19.5</c:v>
                </c:pt>
                <c:pt idx="14">
                  <c:v>21</c:v>
                </c:pt>
                <c:pt idx="15">
                  <c:v>22.5</c:v>
                </c:pt>
                <c:pt idx="16">
                  <c:v>24</c:v>
                </c:pt>
                <c:pt idx="17">
                  <c:v>25.5</c:v>
                </c:pt>
                <c:pt idx="18">
                  <c:v>27</c:v>
                </c:pt>
                <c:pt idx="19">
                  <c:v>27.900000000000002</c:v>
                </c:pt>
                <c:pt idx="20">
                  <c:v>28.5</c:v>
                </c:pt>
                <c:pt idx="21">
                  <c:v>29.099999999999998</c:v>
                </c:pt>
                <c:pt idx="22">
                  <c:v>29.7</c:v>
                </c:pt>
                <c:pt idx="23">
                  <c:v>30</c:v>
                </c:pt>
                <c:pt idx="24">
                  <c:v>30.3</c:v>
                </c:pt>
                <c:pt idx="25">
                  <c:v>30.6</c:v>
                </c:pt>
                <c:pt idx="26">
                  <c:v>31.200000000000003</c:v>
                </c:pt>
                <c:pt idx="27">
                  <c:v>32.1</c:v>
                </c:pt>
                <c:pt idx="28">
                  <c:v>33</c:v>
                </c:pt>
                <c:pt idx="29">
                  <c:v>34.5</c:v>
                </c:pt>
                <c:pt idx="30">
                  <c:v>36</c:v>
                </c:pt>
                <c:pt idx="31">
                  <c:v>37.5</c:v>
                </c:pt>
                <c:pt idx="32">
                  <c:v>39</c:v>
                </c:pt>
                <c:pt idx="33">
                  <c:v>40.5</c:v>
                </c:pt>
                <c:pt idx="34">
                  <c:v>42</c:v>
                </c:pt>
                <c:pt idx="35">
                  <c:v>43.5</c:v>
                </c:pt>
                <c:pt idx="36">
                  <c:v>45</c:v>
                </c:pt>
                <c:pt idx="37">
                  <c:v>46.5</c:v>
                </c:pt>
                <c:pt idx="38">
                  <c:v>48</c:v>
                </c:pt>
                <c:pt idx="39">
                  <c:v>49.5</c:v>
                </c:pt>
                <c:pt idx="40">
                  <c:v>51</c:v>
                </c:pt>
                <c:pt idx="41">
                  <c:v>52.5</c:v>
                </c:pt>
                <c:pt idx="42">
                  <c:v>54</c:v>
                </c:pt>
                <c:pt idx="43">
                  <c:v>55.5</c:v>
                </c:pt>
                <c:pt idx="44">
                  <c:v>57</c:v>
                </c:pt>
                <c:pt idx="45">
                  <c:v>58.5</c:v>
                </c:pt>
                <c:pt idx="46">
                  <c:v>60</c:v>
                </c:pt>
                <c:pt idx="47">
                  <c:v>61.499999999999993</c:v>
                </c:pt>
                <c:pt idx="48">
                  <c:v>63</c:v>
                </c:pt>
                <c:pt idx="49">
                  <c:v>64.5</c:v>
                </c:pt>
                <c:pt idx="50">
                  <c:v>66</c:v>
                </c:pt>
                <c:pt idx="51">
                  <c:v>67.5</c:v>
                </c:pt>
              </c:numCache>
            </c:numRef>
          </c:xVal>
          <c:yVal>
            <c:numRef>
              <c:f>'T_Mprotic_Ac_B_simulation_ (2'!$K$71:$K$122</c:f>
              <c:numCache>
                <c:formatCode>0.00E+00</c:formatCode>
                <c:ptCount val="52"/>
                <c:pt idx="0">
                  <c:v>157.38912215548615</c:v>
                </c:pt>
                <c:pt idx="1">
                  <c:v>18.843141356556604</c:v>
                </c:pt>
                <c:pt idx="2">
                  <c:v>8.9804796721846074</c:v>
                </c:pt>
                <c:pt idx="3">
                  <c:v>5.6609840499355366</c:v>
                </c:pt>
                <c:pt idx="4">
                  <c:v>3.9976617955769416</c:v>
                </c:pt>
                <c:pt idx="5">
                  <c:v>2.998840568088025</c:v>
                </c:pt>
                <c:pt idx="6">
                  <c:v>2.3326883661380466</c:v>
                </c:pt>
                <c:pt idx="7">
                  <c:v>1.8567556636650011</c:v>
                </c:pt>
                <c:pt idx="8">
                  <c:v>1.4997550454380209</c:v>
                </c:pt>
                <c:pt idx="9">
                  <c:v>1.2220615320433903</c:v>
                </c:pt>
                <c:pt idx="10">
                  <c:v>0.9998920123104218</c:v>
                </c:pt>
                <c:pt idx="11">
                  <c:v>0.81810822613363532</c:v>
                </c:pt>
                <c:pt idx="12">
                  <c:v>0.66661630005696948</c:v>
                </c:pt>
                <c:pt idx="13">
                  <c:v>0.53842729386113808</c:v>
                </c:pt>
                <c:pt idx="14">
                  <c:v>0.42854863089237538</c:v>
                </c:pt>
                <c:pt idx="15">
                  <c:v>0.33331881542456432</c:v>
                </c:pt>
                <c:pt idx="16">
                  <c:v>0.24999156279424661</c:v>
                </c:pt>
                <c:pt idx="17">
                  <c:v>0.17646667220775042</c:v>
                </c:pt>
                <c:pt idx="18">
                  <c:v>0.11111058986157969</c:v>
                </c:pt>
                <c:pt idx="19">
                  <c:v>7.5269920919567607E-2</c:v>
                </c:pt>
                <c:pt idx="20">
                  <c:v>5.263362585274084E-2</c:v>
                </c:pt>
                <c:pt idx="21">
                  <c:v>3.093072738224598E-2</c:v>
                </c:pt>
                <c:pt idx="22">
                  <c:v>1.010466066736313E-2</c:v>
                </c:pt>
                <c:pt idx="23">
                  <c:v>8.930266817420221E-4</c:v>
                </c:pt>
                <c:pt idx="24">
                  <c:v>8.0800374242734002E-10</c:v>
                </c:pt>
                <c:pt idx="25">
                  <c:v>4.0803175821451009E-10</c:v>
                </c:pt>
                <c:pt idx="26">
                  <c:v>2.0807576490811427E-10</c:v>
                </c:pt>
                <c:pt idx="27">
                  <c:v>1.224232153002053E-10</c:v>
                </c:pt>
                <c:pt idx="28">
                  <c:v>8.8198136286569563E-11</c:v>
                </c:pt>
                <c:pt idx="29">
                  <c:v>6.1631959948436745E-11</c:v>
                </c:pt>
                <c:pt idx="30">
                  <c:v>4.8399020899803185E-11</c:v>
                </c:pt>
                <c:pt idx="31">
                  <c:v>4.0499010393627206E-11</c:v>
                </c:pt>
                <c:pt idx="32">
                  <c:v>3.5265769470082863E-11</c:v>
                </c:pt>
                <c:pt idx="33">
                  <c:v>3.1556472711694649E-11</c:v>
                </c:pt>
                <c:pt idx="34">
                  <c:v>2.879929628024962E-11</c:v>
                </c:pt>
                <c:pt idx="35">
                  <c:v>2.6677195174417111E-11</c:v>
                </c:pt>
                <c:pt idx="36">
                  <c:v>2.4999446956371985E-11</c:v>
                </c:pt>
                <c:pt idx="37">
                  <c:v>2.3644908946903104E-11</c:v>
                </c:pt>
                <c:pt idx="38">
                  <c:v>2.2532822829316098E-11</c:v>
                </c:pt>
                <c:pt idx="39">
                  <c:v>2.1607084176954984E-11</c:v>
                </c:pt>
                <c:pt idx="40">
                  <c:v>2.0828089252865901E-11</c:v>
                </c:pt>
                <c:pt idx="41">
                  <c:v>2.0166195102293223E-11</c:v>
                </c:pt>
                <c:pt idx="42">
                  <c:v>1.9599488698289753E-11</c:v>
                </c:pt>
                <c:pt idx="43">
                  <c:v>1.9111181387055948E-11</c:v>
                </c:pt>
                <c:pt idx="44">
                  <c:v>1.868843968431723E-11</c:v>
                </c:pt>
                <c:pt idx="45">
                  <c:v>1.832061932682558E-11</c:v>
                </c:pt>
                <c:pt idx="46">
                  <c:v>1.7999560175350406E-11</c:v>
                </c:pt>
                <c:pt idx="47">
                  <c:v>1.7718399663821076E-11</c:v>
                </c:pt>
                <c:pt idx="48">
                  <c:v>1.747217648309655E-11</c:v>
                </c:pt>
                <c:pt idx="49">
                  <c:v>1.7256071571360766E-11</c:v>
                </c:pt>
                <c:pt idx="50">
                  <c:v>1.706612628964173E-11</c:v>
                </c:pt>
                <c:pt idx="51">
                  <c:v>1.6899459262245964E-11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09-4952-AF89-E55CEE5D7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136863"/>
        <c:axId val="1886521199"/>
      </c:scatterChart>
      <c:valAx>
        <c:axId val="214408142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2000"/>
                </a:pPr>
                <a:r>
                  <a:rPr lang="pt-PT" sz="2000"/>
                  <a:t>V/cm</a:t>
                </a:r>
                <a:r>
                  <a:rPr lang="pt-PT" sz="2000" baseline="30000"/>
                  <a:t>3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2672"/>
        <c:crosses val="autoZero"/>
        <c:crossBetween val="midCat"/>
        <c:minorUnit val="5"/>
      </c:valAx>
      <c:valAx>
        <c:axId val="214408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pt-PT" sz="1600"/>
                  <a:t>Concentration</a:t>
                </a:r>
                <a:r>
                  <a:rPr lang="pt-PT" sz="1600" baseline="0"/>
                  <a:t> / mol/dm-3</a:t>
                </a:r>
                <a:endParaRPr lang="pt-PT" sz="1600"/>
              </a:p>
            </c:rich>
          </c:tx>
          <c:layout>
            <c:manualLayout>
              <c:xMode val="edge"/>
              <c:yMode val="edge"/>
              <c:x val="5.1012585998759054E-2"/>
              <c:y val="0.4319499475705893"/>
            </c:manualLayout>
          </c:layout>
          <c:overlay val="0"/>
        </c:title>
        <c:numFmt formatCode="0.0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1424"/>
        <c:crosses val="autoZero"/>
        <c:crossBetween val="midCat"/>
      </c:valAx>
      <c:valAx>
        <c:axId val="1886521199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2400"/>
                </a:pPr>
                <a:r>
                  <a:rPr lang="pt-PT" sz="2400"/>
                  <a:t>RATIO_</a:t>
                </a:r>
                <a:r>
                  <a:rPr lang="pt-PT" sz="2400" baseline="0"/>
                  <a:t> HA_A-</a:t>
                </a:r>
                <a:endParaRPr lang="pt-PT" sz="2400"/>
              </a:p>
            </c:rich>
          </c:tx>
          <c:layout>
            <c:manualLayout>
              <c:xMode val="edge"/>
              <c:yMode val="edge"/>
              <c:x val="0.93413892655968211"/>
              <c:y val="0.43914336181870051"/>
            </c:manualLayout>
          </c:layout>
          <c:overlay val="0"/>
        </c:title>
        <c:numFmt formatCode="0.00E+0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PT"/>
          </a:p>
        </c:txPr>
        <c:crossAx val="1818136863"/>
        <c:crosses val="max"/>
        <c:crossBetween val="midCat"/>
      </c:valAx>
      <c:valAx>
        <c:axId val="1818136863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886521199"/>
        <c:crosses val="autoZero"/>
        <c:crossBetween val="midCat"/>
      </c:valAx>
      <c:spPr>
        <a:ln w="158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3629118699811692"/>
          <c:y val="0.20255012165924319"/>
          <c:w val="0.29175933288231837"/>
          <c:h val="0.23734181674804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ln w="19050">
      <a:solidFill>
        <a:schemeClr val="tx1"/>
      </a:solidFill>
    </a:ln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2400" b="1"/>
              <a:t>Speciation Plot </a:t>
            </a:r>
            <a:r>
              <a:rPr lang="pt-PT" sz="2400" baseline="0"/>
              <a:t>= f (V_NaOH)</a:t>
            </a:r>
            <a:endParaRPr lang="pt-PT" sz="2400"/>
          </a:p>
        </c:rich>
      </c:tx>
      <c:layout>
        <c:manualLayout>
          <c:xMode val="edge"/>
          <c:yMode val="edge"/>
          <c:x val="0.12236662280990906"/>
          <c:y val="0.1071989916142081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840953259589807"/>
          <c:y val="0.16879264771079719"/>
          <c:w val="0.70618695759619132"/>
          <c:h val="0.73023487661390407"/>
        </c:manualLayout>
      </c:layout>
      <c:scatterChart>
        <c:scatterStyle val="lineMarker"/>
        <c:varyColors val="0"/>
        <c:ser>
          <c:idx val="1"/>
          <c:order val="0"/>
          <c:tx>
            <c:v>HA</c:v>
          </c:tx>
          <c:xVal>
            <c:numRef>
              <c:f>'T_Mprotic_Ac_B_simulation_ (2'!$N$71:$N$122</c:f>
              <c:numCache>
                <c:formatCode>0.00</c:formatCode>
                <c:ptCount val="52"/>
                <c:pt idx="0">
                  <c:v>3.8030252869140453</c:v>
                </c:pt>
                <c:pt idx="1">
                  <c:v>4.7248466938949321</c:v>
                </c:pt>
                <c:pt idx="2">
                  <c:v>5.0467004658472447</c:v>
                </c:pt>
                <c:pt idx="3">
                  <c:v>5.2471080687569431</c:v>
                </c:pt>
                <c:pt idx="4">
                  <c:v>5.3981939502198006</c:v>
                </c:pt>
                <c:pt idx="5">
                  <c:v>5.523046622683335</c:v>
                </c:pt>
                <c:pt idx="6">
                  <c:v>5.6321432765969899</c:v>
                </c:pt>
                <c:pt idx="7">
                  <c:v>5.7312452426811378</c:v>
                </c:pt>
                <c:pt idx="8">
                  <c:v>5.8239796683455296</c:v>
                </c:pt>
                <c:pt idx="9">
                  <c:v>5.9129069263732292</c:v>
                </c:pt>
                <c:pt idx="10">
                  <c:v>6.0000469009901076</c:v>
                </c:pt>
                <c:pt idx="11">
                  <c:v>6.0871892404563166</c:v>
                </c:pt>
                <c:pt idx="12">
                  <c:v>6.1761240712061696</c:v>
                </c:pt>
                <c:pt idx="13">
                  <c:v>6.2688729330470112</c:v>
                </c:pt>
                <c:pt idx="14">
                  <c:v>6.3679998880235669</c:v>
                </c:pt>
                <c:pt idx="15">
                  <c:v>6.4771401702745885</c:v>
                </c:pt>
                <c:pt idx="16">
                  <c:v>6.6020746485029003</c:v>
                </c:pt>
                <c:pt idx="17">
                  <c:v>6.7533373041174114</c:v>
                </c:pt>
                <c:pt idx="18">
                  <c:v>6.9542445468262608</c:v>
                </c:pt>
                <c:pt idx="19">
                  <c:v>7.1233785402459642</c:v>
                </c:pt>
                <c:pt idx="20">
                  <c:v>7.2787367110468049</c:v>
                </c:pt>
                <c:pt idx="21">
                  <c:v>7.5096098667934186</c:v>
                </c:pt>
                <c:pt idx="22">
                  <c:v>7.9954782662917916</c:v>
                </c:pt>
                <c:pt idx="23">
                  <c:v>9.0495232286090737</c:v>
                </c:pt>
                <c:pt idx="24">
                  <c:v>10.696803942579512</c:v>
                </c:pt>
                <c:pt idx="25">
                  <c:v>10.995678626217357</c:v>
                </c:pt>
                <c:pt idx="26">
                  <c:v>11.292429823902063</c:v>
                </c:pt>
                <c:pt idx="27">
                  <c:v>11.529127694557339</c:v>
                </c:pt>
                <c:pt idx="28">
                  <c:v>11.67778070526608</c:v>
                </c:pt>
                <c:pt idx="29">
                  <c:v>11.843652799140076</c:v>
                </c:pt>
                <c:pt idx="30">
                  <c:v>11.958607314841775</c:v>
                </c:pt>
                <c:pt idx="31">
                  <c:v>12.045757490560675</c:v>
                </c:pt>
                <c:pt idx="32">
                  <c:v>12.11539341870207</c:v>
                </c:pt>
                <c:pt idx="33">
                  <c:v>12.173000182078539</c:v>
                </c:pt>
                <c:pt idx="34">
                  <c:v>12.221848749616356</c:v>
                </c:pt>
                <c:pt idx="35">
                  <c:v>12.264046429410811</c:v>
                </c:pt>
                <c:pt idx="36">
                  <c:v>12.301029995663981</c:v>
                </c:pt>
                <c:pt idx="37">
                  <c:v>12.333822509060289</c:v>
                </c:pt>
                <c:pt idx="38">
                  <c:v>12.363177902412826</c:v>
                </c:pt>
                <c:pt idx="39">
                  <c:v>12.389667482706047</c:v>
                </c:pt>
                <c:pt idx="40">
                  <c:v>12.413734275855269</c:v>
                </c:pt>
                <c:pt idx="41">
                  <c:v>12.435728569561437</c:v>
                </c:pt>
                <c:pt idx="42">
                  <c:v>12.455931955649724</c:v>
                </c:pt>
                <c:pt idx="43">
                  <c:v>12.474574065705783</c:v>
                </c:pt>
                <c:pt idx="44">
                  <c:v>12.49184451154037</c:v>
                </c:pt>
                <c:pt idx="45">
                  <c:v>12.507901589310684</c:v>
                </c:pt>
                <c:pt idx="46">
                  <c:v>12.522878745280337</c:v>
                </c:pt>
                <c:pt idx="47">
                  <c:v>12.536889459723152</c:v>
                </c:pt>
                <c:pt idx="48">
                  <c:v>12.550030991323952</c:v>
                </c:pt>
                <c:pt idx="49">
                  <c:v>12.562387286564011</c:v>
                </c:pt>
                <c:pt idx="50">
                  <c:v>12.574031267727719</c:v>
                </c:pt>
                <c:pt idx="51">
                  <c:v>12.585026652029182</c:v>
                </c:pt>
              </c:numCache>
            </c:numRef>
          </c:xVal>
          <c:yVal>
            <c:numRef>
              <c:f>'T_Mprotic_Ac_B_simulation_ (2'!$H$71:$H$122</c:f>
              <c:numCache>
                <c:formatCode>0.00E+00</c:formatCode>
                <c:ptCount val="52"/>
                <c:pt idx="0">
                  <c:v>9.9368643511378058E-2</c:v>
                </c:pt>
                <c:pt idx="1">
                  <c:v>9.0438547952371426E-2</c:v>
                </c:pt>
                <c:pt idx="2">
                  <c:v>8.1800401357580405E-2</c:v>
                </c:pt>
                <c:pt idx="3">
                  <c:v>7.3901915829967219E-2</c:v>
                </c:pt>
                <c:pt idx="4">
                  <c:v>6.6658869005417939E-2</c:v>
                </c:pt>
                <c:pt idx="5">
                  <c:v>5.9994201159599983E-2</c:v>
                </c:pt>
                <c:pt idx="6">
                  <c:v>5.3841687824516787E-2</c:v>
                </c:pt>
                <c:pt idx="7">
                  <c:v>4.8144634249653581E-2</c:v>
                </c:pt>
                <c:pt idx="8">
                  <c:v>4.2854343102109421E-2</c:v>
                </c:pt>
                <c:pt idx="9">
                  <c:v>3.7928790199010166E-2</c:v>
                </c:pt>
                <c:pt idx="10">
                  <c:v>3.3331533441323939E-2</c:v>
                </c:pt>
                <c:pt idx="11">
                  <c:v>2.9030821774473303E-2</c:v>
                </c:pt>
                <c:pt idx="12">
                  <c:v>2.4998866717034041E-2</c:v>
                </c:pt>
                <c:pt idx="13">
                  <c:v>2.1211244323289271E-2</c:v>
                </c:pt>
                <c:pt idx="14">
                  <c:v>1.7646401703470135E-2</c:v>
                </c:pt>
                <c:pt idx="15">
                  <c:v>1.4285247633565602E-2</c:v>
                </c:pt>
                <c:pt idx="16">
                  <c:v>1.1110811119548342E-2</c:v>
                </c:pt>
                <c:pt idx="17">
                  <c:v>8.1079551708476694E-3</c:v>
                </c:pt>
                <c:pt idx="18">
                  <c:v>5.263135673035867E-3</c:v>
                </c:pt>
                <c:pt idx="19">
                  <c:v>3.6269924664432207E-3</c:v>
                </c:pt>
                <c:pt idx="20">
                  <c:v>2.5641972988977623E-3</c:v>
                </c:pt>
                <c:pt idx="21">
                  <c:v>1.5229807810314838E-3</c:v>
                </c:pt>
                <c:pt idx="22">
                  <c:v>5.0269235714330799E-4</c:v>
                </c:pt>
                <c:pt idx="23">
                  <c:v>4.4611494831903822E-5</c:v>
                </c:pt>
                <c:pt idx="24">
                  <c:v>4.0199191198020401E-11</c:v>
                </c:pt>
                <c:pt idx="25">
                  <c:v>2.0199591999059407E-11</c:v>
                </c:pt>
                <c:pt idx="26">
                  <c:v>1.0199792399578911E-11</c:v>
                </c:pt>
                <c:pt idx="27">
                  <c:v>5.9141649910721128E-12</c:v>
                </c:pt>
                <c:pt idx="28">
                  <c:v>4.199911252111832E-12</c:v>
                </c:pt>
                <c:pt idx="29">
                  <c:v>2.8666027884760581E-12</c:v>
                </c:pt>
                <c:pt idx="30">
                  <c:v>2.199955495552075E-12</c:v>
                </c:pt>
                <c:pt idx="31">
                  <c:v>1.7999560175674389E-12</c:v>
                </c:pt>
                <c:pt idx="32">
                  <c:v>1.5332943248402842E-12</c:v>
                </c:pt>
                <c:pt idx="33">
                  <c:v>1.3428286260719347E-12</c:v>
                </c:pt>
                <c:pt idx="34">
                  <c:v>1.1999706783782926E-12</c:v>
                </c:pt>
                <c:pt idx="35">
                  <c:v>1.0888651091889301E-12</c:v>
                </c:pt>
                <c:pt idx="36">
                  <c:v>9.999778782798785E-13</c:v>
                </c:pt>
                <c:pt idx="37">
                  <c:v>9.2725133127302684E-13</c:v>
                </c:pt>
                <c:pt idx="38">
                  <c:v>8.666470319163011E-13</c:v>
                </c:pt>
                <c:pt idx="39">
                  <c:v>8.1536166707252278E-13</c:v>
                </c:pt>
                <c:pt idx="40">
                  <c:v>7.7141071308517439E-13</c:v>
                </c:pt>
                <c:pt idx="41">
                  <c:v>7.3331618555272371E-13</c:v>
                </c:pt>
                <c:pt idx="42">
                  <c:v>6.9998173923835338E-13</c:v>
                </c:pt>
                <c:pt idx="43">
                  <c:v>6.7056776797969064E-13</c:v>
                </c:pt>
                <c:pt idx="44">
                  <c:v>6.4442895464367211E-13</c:v>
                </c:pt>
                <c:pt idx="45">
                  <c:v>6.2103794329360085E-13</c:v>
                </c:pt>
                <c:pt idx="46">
                  <c:v>5.9998533918914632E-13</c:v>
                </c:pt>
                <c:pt idx="47">
                  <c:v>5.8093113652901707E-13</c:v>
                </c:pt>
                <c:pt idx="48">
                  <c:v>5.6361859623876853E-13</c:v>
                </c:pt>
                <c:pt idx="49">
                  <c:v>5.4781179592566787E-13</c:v>
                </c:pt>
                <c:pt idx="50">
                  <c:v>5.3331644656040567E-13</c:v>
                </c:pt>
                <c:pt idx="51">
                  <c:v>5.1998336192404793E-13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F7-4A76-86D2-812219D6B901}"/>
            </c:ext>
          </c:extLst>
        </c:ser>
        <c:ser>
          <c:idx val="0"/>
          <c:order val="1"/>
          <c:tx>
            <c:v>A-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'T_Mprotic_Ac_B_simulation_ (2'!$N$71:$N$122</c:f>
              <c:numCache>
                <c:formatCode>0.00</c:formatCode>
                <c:ptCount val="52"/>
                <c:pt idx="0">
                  <c:v>3.8030252869140453</c:v>
                </c:pt>
                <c:pt idx="1">
                  <c:v>4.7248466938949321</c:v>
                </c:pt>
                <c:pt idx="2">
                  <c:v>5.0467004658472447</c:v>
                </c:pt>
                <c:pt idx="3">
                  <c:v>5.2471080687569431</c:v>
                </c:pt>
                <c:pt idx="4">
                  <c:v>5.3981939502198006</c:v>
                </c:pt>
                <c:pt idx="5">
                  <c:v>5.523046622683335</c:v>
                </c:pt>
                <c:pt idx="6">
                  <c:v>5.6321432765969899</c:v>
                </c:pt>
                <c:pt idx="7">
                  <c:v>5.7312452426811378</c:v>
                </c:pt>
                <c:pt idx="8">
                  <c:v>5.8239796683455296</c:v>
                </c:pt>
                <c:pt idx="9">
                  <c:v>5.9129069263732292</c:v>
                </c:pt>
                <c:pt idx="10">
                  <c:v>6.0000469009901076</c:v>
                </c:pt>
                <c:pt idx="11">
                  <c:v>6.0871892404563166</c:v>
                </c:pt>
                <c:pt idx="12">
                  <c:v>6.1761240712061696</c:v>
                </c:pt>
                <c:pt idx="13">
                  <c:v>6.2688729330470112</c:v>
                </c:pt>
                <c:pt idx="14">
                  <c:v>6.3679998880235669</c:v>
                </c:pt>
                <c:pt idx="15">
                  <c:v>6.4771401702745885</c:v>
                </c:pt>
                <c:pt idx="16">
                  <c:v>6.6020746485029003</c:v>
                </c:pt>
                <c:pt idx="17">
                  <c:v>6.7533373041174114</c:v>
                </c:pt>
                <c:pt idx="18">
                  <c:v>6.9542445468262608</c:v>
                </c:pt>
                <c:pt idx="19">
                  <c:v>7.1233785402459642</c:v>
                </c:pt>
                <c:pt idx="20">
                  <c:v>7.2787367110468049</c:v>
                </c:pt>
                <c:pt idx="21">
                  <c:v>7.5096098667934186</c:v>
                </c:pt>
                <c:pt idx="22">
                  <c:v>7.9954782662917916</c:v>
                </c:pt>
                <c:pt idx="23">
                  <c:v>9.0495232286090737</c:v>
                </c:pt>
                <c:pt idx="24">
                  <c:v>10.696803942579512</c:v>
                </c:pt>
                <c:pt idx="25">
                  <c:v>10.995678626217357</c:v>
                </c:pt>
                <c:pt idx="26">
                  <c:v>11.292429823902063</c:v>
                </c:pt>
                <c:pt idx="27">
                  <c:v>11.529127694557339</c:v>
                </c:pt>
                <c:pt idx="28">
                  <c:v>11.67778070526608</c:v>
                </c:pt>
                <c:pt idx="29">
                  <c:v>11.843652799140076</c:v>
                </c:pt>
                <c:pt idx="30">
                  <c:v>11.958607314841775</c:v>
                </c:pt>
                <c:pt idx="31">
                  <c:v>12.045757490560675</c:v>
                </c:pt>
                <c:pt idx="32">
                  <c:v>12.11539341870207</c:v>
                </c:pt>
                <c:pt idx="33">
                  <c:v>12.173000182078539</c:v>
                </c:pt>
                <c:pt idx="34">
                  <c:v>12.221848749616356</c:v>
                </c:pt>
                <c:pt idx="35">
                  <c:v>12.264046429410811</c:v>
                </c:pt>
                <c:pt idx="36">
                  <c:v>12.301029995663981</c:v>
                </c:pt>
                <c:pt idx="37">
                  <c:v>12.333822509060289</c:v>
                </c:pt>
                <c:pt idx="38">
                  <c:v>12.363177902412826</c:v>
                </c:pt>
                <c:pt idx="39">
                  <c:v>12.389667482706047</c:v>
                </c:pt>
                <c:pt idx="40">
                  <c:v>12.413734275855269</c:v>
                </c:pt>
                <c:pt idx="41">
                  <c:v>12.435728569561437</c:v>
                </c:pt>
                <c:pt idx="42">
                  <c:v>12.455931955649724</c:v>
                </c:pt>
                <c:pt idx="43">
                  <c:v>12.474574065705783</c:v>
                </c:pt>
                <c:pt idx="44">
                  <c:v>12.49184451154037</c:v>
                </c:pt>
                <c:pt idx="45">
                  <c:v>12.507901589310684</c:v>
                </c:pt>
                <c:pt idx="46">
                  <c:v>12.522878745280337</c:v>
                </c:pt>
                <c:pt idx="47">
                  <c:v>12.536889459723152</c:v>
                </c:pt>
                <c:pt idx="48">
                  <c:v>12.550030991323952</c:v>
                </c:pt>
                <c:pt idx="49">
                  <c:v>12.562387286564011</c:v>
                </c:pt>
                <c:pt idx="50">
                  <c:v>12.574031267727719</c:v>
                </c:pt>
                <c:pt idx="51">
                  <c:v>12.585026652029182</c:v>
                </c:pt>
              </c:numCache>
            </c:numRef>
          </c:xVal>
          <c:yVal>
            <c:numRef>
              <c:f>'T_Mprotic_Ac_B_simulation_ (2'!$J$71:$J$122</c:f>
              <c:numCache>
                <c:formatCode>0.00E+00</c:formatCode>
                <c:ptCount val="52"/>
                <c:pt idx="0">
                  <c:v>6.3135648862194468E-4</c:v>
                </c:pt>
                <c:pt idx="1">
                  <c:v>4.7995472857238156E-3</c:v>
                </c:pt>
                <c:pt idx="2">
                  <c:v>9.1086895515105036E-3</c:v>
                </c:pt>
                <c:pt idx="3">
                  <c:v>1.3054605909163224E-2</c:v>
                </c:pt>
                <c:pt idx="4">
                  <c:v>1.66744643279154E-2</c:v>
                </c:pt>
                <c:pt idx="5">
                  <c:v>2.0005798840400033E-2</c:v>
                </c:pt>
                <c:pt idx="6">
                  <c:v>2.3081389098560147E-2</c:v>
                </c:pt>
                <c:pt idx="7">
                  <c:v>2.5929439824420492E-2</c:v>
                </c:pt>
                <c:pt idx="8">
                  <c:v>2.8574228326462014E-2</c:v>
                </c:pt>
                <c:pt idx="9">
                  <c:v>3.103672704236915E-2</c:v>
                </c:pt>
                <c:pt idx="10">
                  <c:v>3.3335133225342727E-2</c:v>
                </c:pt>
                <c:pt idx="11">
                  <c:v>3.5485307257784759E-2</c:v>
                </c:pt>
                <c:pt idx="12">
                  <c:v>3.7501133282965962E-2</c:v>
                </c:pt>
                <c:pt idx="13">
                  <c:v>3.939481628277134E-2</c:v>
                </c:pt>
                <c:pt idx="14">
                  <c:v>4.1177127708294577E-2</c:v>
                </c:pt>
                <c:pt idx="15">
                  <c:v>4.2857609509291544E-2</c:v>
                </c:pt>
                <c:pt idx="16">
                  <c:v>4.4444744436007218E-2</c:v>
                </c:pt>
                <c:pt idx="17">
                  <c:v>4.5946098883206388E-2</c:v>
                </c:pt>
                <c:pt idx="18">
                  <c:v>4.7368443274332553E-2</c:v>
                </c:pt>
                <c:pt idx="19">
                  <c:v>4.818647903614745E-2</c:v>
                </c:pt>
                <c:pt idx="20">
                  <c:v>4.8717853983153515E-2</c:v>
                </c:pt>
                <c:pt idx="21">
                  <c:v>4.9238440538765478E-2</c:v>
                </c:pt>
                <c:pt idx="22">
                  <c:v>4.9748563924263724E-2</c:v>
                </c:pt>
                <c:pt idx="23">
                  <c:v>4.9955388505168098E-2</c:v>
                </c:pt>
                <c:pt idx="24">
                  <c:v>4.9751243821293721E-2</c:v>
                </c:pt>
                <c:pt idx="25">
                  <c:v>4.9504950515249099E-2</c:v>
                </c:pt>
                <c:pt idx="26">
                  <c:v>4.9019607853337047E-2</c:v>
                </c:pt>
                <c:pt idx="27">
                  <c:v>4.8309178749875517E-2</c:v>
                </c:pt>
                <c:pt idx="28">
                  <c:v>4.7619047623247528E-2</c:v>
                </c:pt>
                <c:pt idx="29">
                  <c:v>4.6511627909843346E-2</c:v>
                </c:pt>
                <c:pt idx="30">
                  <c:v>4.5454545456745411E-2</c:v>
                </c:pt>
                <c:pt idx="31">
                  <c:v>4.4444444446244402E-2</c:v>
                </c:pt>
                <c:pt idx="32">
                  <c:v>4.3478260871098511E-2</c:v>
                </c:pt>
                <c:pt idx="33">
                  <c:v>4.2553191490704537E-2</c:v>
                </c:pt>
                <c:pt idx="34">
                  <c:v>4.1666666667866642E-2</c:v>
                </c:pt>
                <c:pt idx="35">
                  <c:v>4.0816326531701114E-2</c:v>
                </c:pt>
                <c:pt idx="36">
                  <c:v>4.0000000000999986E-2</c:v>
                </c:pt>
                <c:pt idx="37">
                  <c:v>3.9215686275437055E-2</c:v>
                </c:pt>
                <c:pt idx="38">
                  <c:v>3.8461538462405111E-2</c:v>
                </c:pt>
                <c:pt idx="39">
                  <c:v>3.7735849057419141E-2</c:v>
                </c:pt>
                <c:pt idx="40">
                  <c:v>3.7037037037808446E-2</c:v>
                </c:pt>
                <c:pt idx="41">
                  <c:v>3.6363636364369685E-2</c:v>
                </c:pt>
                <c:pt idx="42">
                  <c:v>3.5714285714985701E-2</c:v>
                </c:pt>
                <c:pt idx="43">
                  <c:v>3.508771929891618E-2</c:v>
                </c:pt>
                <c:pt idx="44">
                  <c:v>3.4482758621334091E-2</c:v>
                </c:pt>
                <c:pt idx="45">
                  <c:v>3.3898305085366801E-2</c:v>
                </c:pt>
                <c:pt idx="46">
                  <c:v>3.3333333333933318E-2</c:v>
                </c:pt>
                <c:pt idx="47">
                  <c:v>3.2786885246482572E-2</c:v>
                </c:pt>
                <c:pt idx="48">
                  <c:v>3.225806451669265E-2</c:v>
                </c:pt>
                <c:pt idx="49">
                  <c:v>3.1746031746579556E-2</c:v>
                </c:pt>
                <c:pt idx="50">
                  <c:v>3.1250000000533316E-2</c:v>
                </c:pt>
                <c:pt idx="51">
                  <c:v>3.0769230769750754E-2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F7-4A76-86D2-812219D6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81424"/>
        <c:axId val="2144082672"/>
      </c:scatterChart>
      <c:scatterChart>
        <c:scatterStyle val="lineMarker"/>
        <c:varyColors val="0"/>
        <c:ser>
          <c:idx val="2"/>
          <c:order val="2"/>
          <c:tx>
            <c:v>RATIO_HA_A-</c:v>
          </c:tx>
          <c:xVal>
            <c:numRef>
              <c:f>'T_Mprotic_Ac_B_simulation_ (2'!$N$71:$N$122</c:f>
              <c:numCache>
                <c:formatCode>0.00</c:formatCode>
                <c:ptCount val="52"/>
                <c:pt idx="0">
                  <c:v>3.8030252869140453</c:v>
                </c:pt>
                <c:pt idx="1">
                  <c:v>4.7248466938949321</c:v>
                </c:pt>
                <c:pt idx="2">
                  <c:v>5.0467004658472447</c:v>
                </c:pt>
                <c:pt idx="3">
                  <c:v>5.2471080687569431</c:v>
                </c:pt>
                <c:pt idx="4">
                  <c:v>5.3981939502198006</c:v>
                </c:pt>
                <c:pt idx="5">
                  <c:v>5.523046622683335</c:v>
                </c:pt>
                <c:pt idx="6">
                  <c:v>5.6321432765969899</c:v>
                </c:pt>
                <c:pt idx="7">
                  <c:v>5.7312452426811378</c:v>
                </c:pt>
                <c:pt idx="8">
                  <c:v>5.8239796683455296</c:v>
                </c:pt>
                <c:pt idx="9">
                  <c:v>5.9129069263732292</c:v>
                </c:pt>
                <c:pt idx="10">
                  <c:v>6.0000469009901076</c:v>
                </c:pt>
                <c:pt idx="11">
                  <c:v>6.0871892404563166</c:v>
                </c:pt>
                <c:pt idx="12">
                  <c:v>6.1761240712061696</c:v>
                </c:pt>
                <c:pt idx="13">
                  <c:v>6.2688729330470112</c:v>
                </c:pt>
                <c:pt idx="14">
                  <c:v>6.3679998880235669</c:v>
                </c:pt>
                <c:pt idx="15">
                  <c:v>6.4771401702745885</c:v>
                </c:pt>
                <c:pt idx="16">
                  <c:v>6.6020746485029003</c:v>
                </c:pt>
                <c:pt idx="17">
                  <c:v>6.7533373041174114</c:v>
                </c:pt>
                <c:pt idx="18">
                  <c:v>6.9542445468262608</c:v>
                </c:pt>
                <c:pt idx="19">
                  <c:v>7.1233785402459642</c:v>
                </c:pt>
                <c:pt idx="20">
                  <c:v>7.2787367110468049</c:v>
                </c:pt>
                <c:pt idx="21">
                  <c:v>7.5096098667934186</c:v>
                </c:pt>
                <c:pt idx="22">
                  <c:v>7.9954782662917916</c:v>
                </c:pt>
                <c:pt idx="23">
                  <c:v>9.0495232286090737</c:v>
                </c:pt>
                <c:pt idx="24">
                  <c:v>10.696803942579512</c:v>
                </c:pt>
                <c:pt idx="25">
                  <c:v>10.995678626217357</c:v>
                </c:pt>
                <c:pt idx="26">
                  <c:v>11.292429823902063</c:v>
                </c:pt>
                <c:pt idx="27">
                  <c:v>11.529127694557339</c:v>
                </c:pt>
                <c:pt idx="28">
                  <c:v>11.67778070526608</c:v>
                </c:pt>
                <c:pt idx="29">
                  <c:v>11.843652799140076</c:v>
                </c:pt>
                <c:pt idx="30">
                  <c:v>11.958607314841775</c:v>
                </c:pt>
                <c:pt idx="31">
                  <c:v>12.045757490560675</c:v>
                </c:pt>
                <c:pt idx="32">
                  <c:v>12.11539341870207</c:v>
                </c:pt>
                <c:pt idx="33">
                  <c:v>12.173000182078539</c:v>
                </c:pt>
                <c:pt idx="34">
                  <c:v>12.221848749616356</c:v>
                </c:pt>
                <c:pt idx="35">
                  <c:v>12.264046429410811</c:v>
                </c:pt>
                <c:pt idx="36">
                  <c:v>12.301029995663981</c:v>
                </c:pt>
                <c:pt idx="37">
                  <c:v>12.333822509060289</c:v>
                </c:pt>
                <c:pt idx="38">
                  <c:v>12.363177902412826</c:v>
                </c:pt>
                <c:pt idx="39">
                  <c:v>12.389667482706047</c:v>
                </c:pt>
                <c:pt idx="40">
                  <c:v>12.413734275855269</c:v>
                </c:pt>
                <c:pt idx="41">
                  <c:v>12.435728569561437</c:v>
                </c:pt>
                <c:pt idx="42">
                  <c:v>12.455931955649724</c:v>
                </c:pt>
                <c:pt idx="43">
                  <c:v>12.474574065705783</c:v>
                </c:pt>
                <c:pt idx="44">
                  <c:v>12.49184451154037</c:v>
                </c:pt>
                <c:pt idx="45">
                  <c:v>12.507901589310684</c:v>
                </c:pt>
                <c:pt idx="46">
                  <c:v>12.522878745280337</c:v>
                </c:pt>
                <c:pt idx="47">
                  <c:v>12.536889459723152</c:v>
                </c:pt>
                <c:pt idx="48">
                  <c:v>12.550030991323952</c:v>
                </c:pt>
                <c:pt idx="49">
                  <c:v>12.562387286564011</c:v>
                </c:pt>
                <c:pt idx="50">
                  <c:v>12.574031267727719</c:v>
                </c:pt>
                <c:pt idx="51">
                  <c:v>12.585026652029182</c:v>
                </c:pt>
              </c:numCache>
            </c:numRef>
          </c:xVal>
          <c:yVal>
            <c:numRef>
              <c:f>'T_Mprotic_Ac_B_simulation_ (2'!$K$71:$K$122</c:f>
              <c:numCache>
                <c:formatCode>0.00E+00</c:formatCode>
                <c:ptCount val="52"/>
                <c:pt idx="0">
                  <c:v>157.38912215548615</c:v>
                </c:pt>
                <c:pt idx="1">
                  <c:v>18.843141356556604</c:v>
                </c:pt>
                <c:pt idx="2">
                  <c:v>8.9804796721846074</c:v>
                </c:pt>
                <c:pt idx="3">
                  <c:v>5.6609840499355366</c:v>
                </c:pt>
                <c:pt idx="4">
                  <c:v>3.9976617955769416</c:v>
                </c:pt>
                <c:pt idx="5">
                  <c:v>2.998840568088025</c:v>
                </c:pt>
                <c:pt idx="6">
                  <c:v>2.3326883661380466</c:v>
                </c:pt>
                <c:pt idx="7">
                  <c:v>1.8567556636650011</c:v>
                </c:pt>
                <c:pt idx="8">
                  <c:v>1.4997550454380209</c:v>
                </c:pt>
                <c:pt idx="9">
                  <c:v>1.2220615320433903</c:v>
                </c:pt>
                <c:pt idx="10">
                  <c:v>0.9998920123104218</c:v>
                </c:pt>
                <c:pt idx="11">
                  <c:v>0.81810822613363532</c:v>
                </c:pt>
                <c:pt idx="12">
                  <c:v>0.66661630005696948</c:v>
                </c:pt>
                <c:pt idx="13">
                  <c:v>0.53842729386113808</c:v>
                </c:pt>
                <c:pt idx="14">
                  <c:v>0.42854863089237538</c:v>
                </c:pt>
                <c:pt idx="15">
                  <c:v>0.33331881542456432</c:v>
                </c:pt>
                <c:pt idx="16">
                  <c:v>0.24999156279424661</c:v>
                </c:pt>
                <c:pt idx="17">
                  <c:v>0.17646667220775042</c:v>
                </c:pt>
                <c:pt idx="18">
                  <c:v>0.11111058986157969</c:v>
                </c:pt>
                <c:pt idx="19">
                  <c:v>7.5269920919567607E-2</c:v>
                </c:pt>
                <c:pt idx="20">
                  <c:v>5.263362585274084E-2</c:v>
                </c:pt>
                <c:pt idx="21">
                  <c:v>3.093072738224598E-2</c:v>
                </c:pt>
                <c:pt idx="22">
                  <c:v>1.010466066736313E-2</c:v>
                </c:pt>
                <c:pt idx="23">
                  <c:v>8.930266817420221E-4</c:v>
                </c:pt>
                <c:pt idx="24">
                  <c:v>8.0800374242734002E-10</c:v>
                </c:pt>
                <c:pt idx="25">
                  <c:v>4.0803175821451009E-10</c:v>
                </c:pt>
                <c:pt idx="26">
                  <c:v>2.0807576490811427E-10</c:v>
                </c:pt>
                <c:pt idx="27">
                  <c:v>1.224232153002053E-10</c:v>
                </c:pt>
                <c:pt idx="28">
                  <c:v>8.8198136286569563E-11</c:v>
                </c:pt>
                <c:pt idx="29">
                  <c:v>6.1631959948436745E-11</c:v>
                </c:pt>
                <c:pt idx="30">
                  <c:v>4.8399020899803185E-11</c:v>
                </c:pt>
                <c:pt idx="31">
                  <c:v>4.0499010393627206E-11</c:v>
                </c:pt>
                <c:pt idx="32">
                  <c:v>3.5265769470082863E-11</c:v>
                </c:pt>
                <c:pt idx="33">
                  <c:v>3.1556472711694649E-11</c:v>
                </c:pt>
                <c:pt idx="34">
                  <c:v>2.879929628024962E-11</c:v>
                </c:pt>
                <c:pt idx="35">
                  <c:v>2.6677195174417111E-11</c:v>
                </c:pt>
                <c:pt idx="36">
                  <c:v>2.4999446956371985E-11</c:v>
                </c:pt>
                <c:pt idx="37">
                  <c:v>2.3644908946903104E-11</c:v>
                </c:pt>
                <c:pt idx="38">
                  <c:v>2.2532822829316098E-11</c:v>
                </c:pt>
                <c:pt idx="39">
                  <c:v>2.1607084176954984E-11</c:v>
                </c:pt>
                <c:pt idx="40">
                  <c:v>2.0828089252865901E-11</c:v>
                </c:pt>
                <c:pt idx="41">
                  <c:v>2.0166195102293223E-11</c:v>
                </c:pt>
                <c:pt idx="42">
                  <c:v>1.9599488698289753E-11</c:v>
                </c:pt>
                <c:pt idx="43">
                  <c:v>1.9111181387055948E-11</c:v>
                </c:pt>
                <c:pt idx="44">
                  <c:v>1.868843968431723E-11</c:v>
                </c:pt>
                <c:pt idx="45">
                  <c:v>1.832061932682558E-11</c:v>
                </c:pt>
                <c:pt idx="46">
                  <c:v>1.7999560175350406E-11</c:v>
                </c:pt>
                <c:pt idx="47">
                  <c:v>1.7718399663821076E-11</c:v>
                </c:pt>
                <c:pt idx="48">
                  <c:v>1.747217648309655E-11</c:v>
                </c:pt>
                <c:pt idx="49">
                  <c:v>1.7256071571360766E-11</c:v>
                </c:pt>
                <c:pt idx="50">
                  <c:v>1.706612628964173E-11</c:v>
                </c:pt>
                <c:pt idx="51">
                  <c:v>1.6899459262245964E-11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F7-4A76-86D2-812219D6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136863"/>
        <c:axId val="1886521199"/>
      </c:scatterChart>
      <c:valAx>
        <c:axId val="214408142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2400"/>
                </a:pPr>
                <a:r>
                  <a:rPr lang="pt-PT" sz="2400"/>
                  <a:t>pH</a:t>
                </a:r>
              </a:p>
            </c:rich>
          </c:tx>
          <c:layout>
            <c:manualLayout>
              <c:xMode val="edge"/>
              <c:yMode val="edge"/>
              <c:x val="0.7087856019329869"/>
              <c:y val="0.9382233575477900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2672"/>
        <c:crosses val="autoZero"/>
        <c:crossBetween val="midCat"/>
        <c:majorUnit val="1"/>
        <c:minorUnit val="1"/>
      </c:valAx>
      <c:valAx>
        <c:axId val="214408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pt-PT" sz="1600"/>
                  <a:t>Concentration</a:t>
                </a:r>
                <a:r>
                  <a:rPr lang="pt-PT" sz="1600" baseline="0"/>
                  <a:t> / mol/dm-3</a:t>
                </a:r>
                <a:endParaRPr lang="pt-PT" sz="1600"/>
              </a:p>
            </c:rich>
          </c:tx>
          <c:layout>
            <c:manualLayout>
              <c:xMode val="edge"/>
              <c:yMode val="edge"/>
              <c:x val="3.6286377481705344E-2"/>
              <c:y val="0.42454677681781605"/>
            </c:manualLayout>
          </c:layout>
          <c:overlay val="0"/>
        </c:title>
        <c:numFmt formatCode="0.0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1424"/>
        <c:crosses val="autoZero"/>
        <c:crossBetween val="midCat"/>
      </c:valAx>
      <c:valAx>
        <c:axId val="1886521199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2400"/>
                </a:pPr>
                <a:r>
                  <a:rPr lang="pt-PT" sz="2400"/>
                  <a:t>RATIO_</a:t>
                </a:r>
                <a:r>
                  <a:rPr lang="pt-PT" sz="2400" baseline="0"/>
                  <a:t> HA_A-</a:t>
                </a:r>
                <a:endParaRPr lang="pt-PT" sz="2400"/>
              </a:p>
            </c:rich>
          </c:tx>
          <c:layout>
            <c:manualLayout>
              <c:xMode val="edge"/>
              <c:yMode val="edge"/>
              <c:x val="0.93413892655968211"/>
              <c:y val="0.43914336181870051"/>
            </c:manualLayout>
          </c:layout>
          <c:overlay val="0"/>
        </c:title>
        <c:numFmt formatCode="0.0E+0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PT"/>
          </a:p>
        </c:txPr>
        <c:crossAx val="1818136863"/>
        <c:crosses val="max"/>
        <c:crossBetween val="midCat"/>
      </c:valAx>
      <c:valAx>
        <c:axId val="1818136863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886521199"/>
        <c:crosses val="autoZero"/>
        <c:crossBetween val="midCat"/>
      </c:valAx>
      <c:spPr>
        <a:ln w="158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6983663526317895"/>
          <c:y val="0.24951473770187121"/>
          <c:w val="0.18247852427740499"/>
          <c:h val="0.1116797454397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ln w="19050">
      <a:solidFill>
        <a:schemeClr val="tx1"/>
      </a:solidFill>
    </a:ln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2000" b="1"/>
              <a:t>pH</a:t>
            </a:r>
            <a:r>
              <a:rPr lang="pt-PT" sz="2000" b="1" baseline="0"/>
              <a:t> &amp; K  </a:t>
            </a:r>
            <a:r>
              <a:rPr lang="pt-PT" sz="2000" baseline="0"/>
              <a:t>= f (V_NaOH)</a:t>
            </a:r>
            <a:endParaRPr lang="pt-PT" sz="2000"/>
          </a:p>
        </c:rich>
      </c:tx>
      <c:layout>
        <c:manualLayout>
          <c:xMode val="edge"/>
          <c:yMode val="edge"/>
          <c:x val="9.4175888682295192E-2"/>
          <c:y val="8.09152901490573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2431697811761756"/>
          <c:y val="0.14643731590294709"/>
          <c:w val="0.76512810577341062"/>
          <c:h val="0.75552595764991204"/>
        </c:manualLayout>
      </c:layout>
      <c:scatterChart>
        <c:scatterStyle val="lineMarker"/>
        <c:varyColors val="0"/>
        <c:ser>
          <c:idx val="0"/>
          <c:order val="0"/>
          <c:tx>
            <c:v>pH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T_Diprotic_Ac_B_simulation_pH!$D$72:$D$140</c:f>
              <c:numCache>
                <c:formatCode>0.00</c:formatCode>
                <c:ptCount val="69"/>
                <c:pt idx="0">
                  <c:v>0</c:v>
                </c:pt>
                <c:pt idx="1">
                  <c:v>0.8968505859375</c:v>
                </c:pt>
                <c:pt idx="2">
                  <c:v>1.793701171875</c:v>
                </c:pt>
                <c:pt idx="3">
                  <c:v>2.6905517578125</c:v>
                </c:pt>
                <c:pt idx="4">
                  <c:v>3.58740234375</c:v>
                </c:pt>
                <c:pt idx="5">
                  <c:v>4.4842529296875</c:v>
                </c:pt>
                <c:pt idx="6">
                  <c:v>5.381103515625</c:v>
                </c:pt>
                <c:pt idx="7">
                  <c:v>6.2779541015625</c:v>
                </c:pt>
                <c:pt idx="8">
                  <c:v>7.1748046875</c:v>
                </c:pt>
                <c:pt idx="9">
                  <c:v>8.0716552734375</c:v>
                </c:pt>
                <c:pt idx="10">
                  <c:v>8.968505859375</c:v>
                </c:pt>
                <c:pt idx="11">
                  <c:v>9.8653564453125</c:v>
                </c:pt>
                <c:pt idx="12">
                  <c:v>10.76220703125</c:v>
                </c:pt>
                <c:pt idx="13">
                  <c:v>11.6590576171875</c:v>
                </c:pt>
                <c:pt idx="14">
                  <c:v>12.555908203125</c:v>
                </c:pt>
                <c:pt idx="15">
                  <c:v>13.4527587890625</c:v>
                </c:pt>
                <c:pt idx="16">
                  <c:v>14.349609375</c:v>
                </c:pt>
                <c:pt idx="17">
                  <c:v>15.2464599609375</c:v>
                </c:pt>
                <c:pt idx="18">
                  <c:v>16.143310546875</c:v>
                </c:pt>
                <c:pt idx="19">
                  <c:v>16.502050781250002</c:v>
                </c:pt>
                <c:pt idx="20">
                  <c:v>16.860791015625001</c:v>
                </c:pt>
                <c:pt idx="21">
                  <c:v>17.219531249999999</c:v>
                </c:pt>
                <c:pt idx="22">
                  <c:v>17.578271484375001</c:v>
                </c:pt>
                <c:pt idx="23">
                  <c:v>17.93701171875</c:v>
                </c:pt>
                <c:pt idx="24">
                  <c:v>18.295751953124999</c:v>
                </c:pt>
                <c:pt idx="25">
                  <c:v>18.654492187500001</c:v>
                </c:pt>
                <c:pt idx="26">
                  <c:v>19.013232421874999</c:v>
                </c:pt>
                <c:pt idx="27">
                  <c:v>19.371972656250001</c:v>
                </c:pt>
                <c:pt idx="28">
                  <c:v>19.730712890625</c:v>
                </c:pt>
                <c:pt idx="29">
                  <c:v>20.6275634765625</c:v>
                </c:pt>
                <c:pt idx="30">
                  <c:v>21.5244140625</c:v>
                </c:pt>
                <c:pt idx="31">
                  <c:v>22.4212646484375</c:v>
                </c:pt>
                <c:pt idx="32">
                  <c:v>23.318115234375</c:v>
                </c:pt>
                <c:pt idx="33">
                  <c:v>24.2149658203125</c:v>
                </c:pt>
                <c:pt idx="34">
                  <c:v>25.11181640625</c:v>
                </c:pt>
                <c:pt idx="35">
                  <c:v>26.0086669921875</c:v>
                </c:pt>
                <c:pt idx="36">
                  <c:v>26.905517578125</c:v>
                </c:pt>
                <c:pt idx="37">
                  <c:v>27.8023681640625</c:v>
                </c:pt>
                <c:pt idx="38">
                  <c:v>28.69921875</c:v>
                </c:pt>
                <c:pt idx="39">
                  <c:v>29.5960693359375</c:v>
                </c:pt>
                <c:pt idx="40">
                  <c:v>30.492919921875</c:v>
                </c:pt>
                <c:pt idx="41">
                  <c:v>31.3897705078125</c:v>
                </c:pt>
                <c:pt idx="42">
                  <c:v>32.28662109375</c:v>
                </c:pt>
                <c:pt idx="43">
                  <c:v>33.1834716796875</c:v>
                </c:pt>
                <c:pt idx="44">
                  <c:v>34.080322265625</c:v>
                </c:pt>
                <c:pt idx="45">
                  <c:v>34.439062499999999</c:v>
                </c:pt>
                <c:pt idx="46">
                  <c:v>34.797802734374997</c:v>
                </c:pt>
                <c:pt idx="47">
                  <c:v>35.156542968750003</c:v>
                </c:pt>
                <c:pt idx="48">
                  <c:v>35.335913085937499</c:v>
                </c:pt>
                <c:pt idx="49">
                  <c:v>35.515283203125001</c:v>
                </c:pt>
                <c:pt idx="50">
                  <c:v>35.8740234375</c:v>
                </c:pt>
                <c:pt idx="51">
                  <c:v>36.232763671874999</c:v>
                </c:pt>
                <c:pt idx="52">
                  <c:v>36.412133789062494</c:v>
                </c:pt>
                <c:pt idx="53">
                  <c:v>36.591503906249997</c:v>
                </c:pt>
                <c:pt idx="54">
                  <c:v>36.950244140625003</c:v>
                </c:pt>
                <c:pt idx="55">
                  <c:v>37.308984375000001</c:v>
                </c:pt>
                <c:pt idx="56">
                  <c:v>37.667724609375</c:v>
                </c:pt>
                <c:pt idx="57">
                  <c:v>38.5645751953125</c:v>
                </c:pt>
                <c:pt idx="58">
                  <c:v>39.46142578125</c:v>
                </c:pt>
                <c:pt idx="59">
                  <c:v>40.3582763671875</c:v>
                </c:pt>
                <c:pt idx="60">
                  <c:v>41.255126953125</c:v>
                </c:pt>
                <c:pt idx="61">
                  <c:v>42.1519775390625</c:v>
                </c:pt>
                <c:pt idx="62">
                  <c:v>43.048828125</c:v>
                </c:pt>
                <c:pt idx="63">
                  <c:v>43.9456787109375</c:v>
                </c:pt>
                <c:pt idx="64">
                  <c:v>44.842529296875</c:v>
                </c:pt>
                <c:pt idx="65">
                  <c:v>45.7393798828125</c:v>
                </c:pt>
                <c:pt idx="66">
                  <c:v>46.63623046875</c:v>
                </c:pt>
                <c:pt idx="67">
                  <c:v>47.5330810546875</c:v>
                </c:pt>
                <c:pt idx="68">
                  <c:v>48.429931640625</c:v>
                </c:pt>
              </c:numCache>
            </c:numRef>
          </c:xVal>
          <c:yVal>
            <c:numRef>
              <c:f>T_Diprotic_Ac_B_simulation_pH!$O$72:$O$140</c:f>
              <c:numCache>
                <c:formatCode>0.00</c:formatCode>
                <c:ptCount val="69"/>
                <c:pt idx="0">
                  <c:v>2.7602017976424706</c:v>
                </c:pt>
                <c:pt idx="1">
                  <c:v>2.7601183117076697</c:v>
                </c:pt>
                <c:pt idx="2">
                  <c:v>2.7711934483495413</c:v>
                </c:pt>
                <c:pt idx="3">
                  <c:v>2.792715543527982</c:v>
                </c:pt>
                <c:pt idx="4">
                  <c:v>2.8234917392478329</c:v>
                </c:pt>
                <c:pt idx="5">
                  <c:v>2.8621339291303536</c:v>
                </c:pt>
                <c:pt idx="6">
                  <c:v>2.9073205411861851</c:v>
                </c:pt>
                <c:pt idx="7">
                  <c:v>2.9579709638378469</c:v>
                </c:pt>
                <c:pt idx="8">
                  <c:v>3.0133300504733724</c:v>
                </c:pt>
                <c:pt idx="9">
                  <c:v>3.0729933519131785</c:v>
                </c:pt>
                <c:pt idx="10">
                  <c:v>3.1369095210428686</c:v>
                </c:pt>
                <c:pt idx="11">
                  <c:v>3.2053903880888752</c:v>
                </c:pt>
                <c:pt idx="12">
                  <c:v>3.2791547251118147</c:v>
                </c:pt>
                <c:pt idx="13">
                  <c:v>3.359436815719552</c:v>
                </c:pt>
                <c:pt idx="14">
                  <c:v>3.4482150416678681</c:v>
                </c:pt>
                <c:pt idx="15">
                  <c:v>3.5486837715628288</c:v>
                </c:pt>
                <c:pt idx="16">
                  <c:v>3.6662881594305721</c:v>
                </c:pt>
                <c:pt idx="17">
                  <c:v>3.8113033689438178</c:v>
                </c:pt>
                <c:pt idx="18">
                  <c:v>4.0068426013157987</c:v>
                </c:pt>
                <c:pt idx="19">
                  <c:v>4.1113535624166095</c:v>
                </c:pt>
                <c:pt idx="20">
                  <c:v>4.2437877800683932</c:v>
                </c:pt>
                <c:pt idx="21">
                  <c:v>4.4272583939808507</c:v>
                </c:pt>
                <c:pt idx="22">
                  <c:v>4.7354948296233674</c:v>
                </c:pt>
                <c:pt idx="23">
                  <c:v>6</c:v>
                </c:pt>
                <c:pt idx="24">
                  <c:v>7.3096891204222043</c:v>
                </c:pt>
                <c:pt idx="25">
                  <c:v>7.6197010982368614</c:v>
                </c:pt>
                <c:pt idx="26">
                  <c:v>7.8049569159463807</c:v>
                </c:pt>
                <c:pt idx="27">
                  <c:v>7.9392484945639854</c:v>
                </c:pt>
                <c:pt idx="28">
                  <c:v>8.0457121935204245</c:v>
                </c:pt>
                <c:pt idx="29">
                  <c:v>8.2466388743341685</c:v>
                </c:pt>
                <c:pt idx="30">
                  <c:v>8.3979126206714376</c:v>
                </c:pt>
                <c:pt idx="31">
                  <c:v>8.5228549114373724</c:v>
                </c:pt>
                <c:pt idx="32">
                  <c:v>8.6320015910585379</c:v>
                </c:pt>
                <c:pt idx="33">
                  <c:v>8.7311344471911276</c:v>
                </c:pt>
                <c:pt idx="34">
                  <c:v>8.8238893107840184</c:v>
                </c:pt>
                <c:pt idx="35">
                  <c:v>8.9128307605553427</c:v>
                </c:pt>
                <c:pt idx="36">
                  <c:v>8.9999809165431532</c:v>
                </c:pt>
                <c:pt idx="37">
                  <c:v>9.0268833781150093</c:v>
                </c:pt>
                <c:pt idx="38">
                  <c:v>9.1113609961364936</c:v>
                </c:pt>
                <c:pt idx="39">
                  <c:v>9.1980884295405012</c:v>
                </c:pt>
                <c:pt idx="40">
                  <c:v>9.2889825517708218</c:v>
                </c:pt>
                <c:pt idx="41">
                  <c:v>9.3865330172994241</c:v>
                </c:pt>
                <c:pt idx="42">
                  <c:v>9.4943215168885029</c:v>
                </c:pt>
                <c:pt idx="43">
                  <c:v>9.6180911096640802</c:v>
                </c:pt>
                <c:pt idx="44">
                  <c:v>9.7683528497491121</c:v>
                </c:pt>
                <c:pt idx="45">
                  <c:v>9.8402429594405803</c:v>
                </c:pt>
                <c:pt idx="46">
                  <c:v>9.9223336607423018</c:v>
                </c:pt>
                <c:pt idx="47">
                  <c:v>10.018836906047326</c:v>
                </c:pt>
                <c:pt idx="48">
                  <c:v>10.074602148673112</c:v>
                </c:pt>
                <c:pt idx="49">
                  <c:v>10.137169231193825</c:v>
                </c:pt>
                <c:pt idx="50">
                  <c:v>10.292362473288184</c:v>
                </c:pt>
                <c:pt idx="51">
                  <c:v>10.518847316411835</c:v>
                </c:pt>
                <c:pt idx="52">
                  <c:v>10.694238811225398</c:v>
                </c:pt>
                <c:pt idx="53">
                  <c:v>10.818478909284867</c:v>
                </c:pt>
                <c:pt idx="54">
                  <c:v>10.993176253876383</c:v>
                </c:pt>
                <c:pt idx="55">
                  <c:v>11.116725535627905</c:v>
                </c:pt>
                <c:pt idx="56">
                  <c:v>11.212250524941943</c:v>
                </c:pt>
                <c:pt idx="57">
                  <c:v>11.384898426870333</c:v>
                </c:pt>
                <c:pt idx="58">
                  <c:v>11.506420892813576</c:v>
                </c:pt>
                <c:pt idx="59">
                  <c:v>11.599941298802451</c:v>
                </c:pt>
                <c:pt idx="60">
                  <c:v>11.675759188483953</c:v>
                </c:pt>
                <c:pt idx="61">
                  <c:v>11.739368468930261</c:v>
                </c:pt>
                <c:pt idx="62">
                  <c:v>11.794048359665311</c:v>
                </c:pt>
                <c:pt idx="63">
                  <c:v>11.84191389352322</c:v>
                </c:pt>
                <c:pt idx="64">
                  <c:v>11.884409086541734</c:v>
                </c:pt>
                <c:pt idx="65">
                  <c:v>11.922563797022972</c:v>
                </c:pt>
                <c:pt idx="66">
                  <c:v>11.957138346092776</c:v>
                </c:pt>
                <c:pt idx="67">
                  <c:v>11.988710051316136</c:v>
                </c:pt>
                <c:pt idx="68">
                  <c:v>12.017727600064486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7D-4FB5-9F1F-141A2F1D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81424"/>
        <c:axId val="2144082672"/>
      </c:scatterChart>
      <c:valAx>
        <c:axId val="214408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600" b="1"/>
                  <a:t>V_NaOH / cm3</a:t>
                </a:r>
              </a:p>
            </c:rich>
          </c:tx>
          <c:layout>
            <c:manualLayout>
              <c:xMode val="edge"/>
              <c:yMode val="edge"/>
              <c:x val="0.63629671612385208"/>
              <c:y val="0.939028829470914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2672"/>
        <c:crosses val="autoZero"/>
        <c:crossBetween val="midCat"/>
      </c:valAx>
      <c:valAx>
        <c:axId val="2144082672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2400"/>
                  <a:t>pH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142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0809792734777047"/>
          <c:y val="0.22271024277449192"/>
          <c:w val="0.14548460519975109"/>
          <c:h val="0.11092384434272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2000" b="1"/>
              <a:t>1º</a:t>
            </a:r>
            <a:r>
              <a:rPr lang="pt-PT" sz="2000" b="1" baseline="0"/>
              <a:t> &amp; 2and derivative  </a:t>
            </a:r>
            <a:r>
              <a:rPr lang="pt-PT" sz="2000" baseline="0"/>
              <a:t>= f (V_NaOH)</a:t>
            </a:r>
            <a:endParaRPr lang="pt-PT" sz="2000"/>
          </a:p>
        </c:rich>
      </c:tx>
      <c:layout>
        <c:manualLayout>
          <c:xMode val="edge"/>
          <c:yMode val="edge"/>
          <c:x val="0.11139217211540542"/>
          <c:y val="9.3996846691795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1057710184899129"/>
          <c:y val="0.1576945537381865"/>
          <c:w val="0.78009294844910293"/>
          <c:h val="0.74209041519893348"/>
        </c:manualLayout>
      </c:layout>
      <c:scatterChart>
        <c:scatterStyle val="lineMarker"/>
        <c:varyColors val="0"/>
        <c:ser>
          <c:idx val="0"/>
          <c:order val="0"/>
          <c:tx>
            <c:v>1st Der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T_Diprotic_Ac_B_simulation_pH!$Q$73:$Q$140</c:f>
              <c:numCache>
                <c:formatCode>0.0000</c:formatCode>
                <c:ptCount val="68"/>
                <c:pt idx="0">
                  <c:v>0.44842529296875</c:v>
                </c:pt>
                <c:pt idx="1">
                  <c:v>1.34527587890625</c:v>
                </c:pt>
                <c:pt idx="2">
                  <c:v>2.24212646484375</c:v>
                </c:pt>
                <c:pt idx="3">
                  <c:v>3.13897705078125</c:v>
                </c:pt>
                <c:pt idx="4">
                  <c:v>4.03582763671875</c:v>
                </c:pt>
                <c:pt idx="5">
                  <c:v>4.93267822265625</c:v>
                </c:pt>
                <c:pt idx="6">
                  <c:v>5.82952880859375</c:v>
                </c:pt>
                <c:pt idx="7">
                  <c:v>6.72637939453125</c:v>
                </c:pt>
                <c:pt idx="8">
                  <c:v>7.62322998046875</c:v>
                </c:pt>
                <c:pt idx="9">
                  <c:v>8.52008056640625</c:v>
                </c:pt>
                <c:pt idx="10">
                  <c:v>9.41693115234375</c:v>
                </c:pt>
                <c:pt idx="11">
                  <c:v>10.31378173828125</c:v>
                </c:pt>
                <c:pt idx="12">
                  <c:v>11.21063232421875</c:v>
                </c:pt>
                <c:pt idx="13">
                  <c:v>12.10748291015625</c:v>
                </c:pt>
                <c:pt idx="14">
                  <c:v>13.00433349609375</c:v>
                </c:pt>
                <c:pt idx="15">
                  <c:v>13.90118408203125</c:v>
                </c:pt>
                <c:pt idx="16">
                  <c:v>14.79803466796875</c:v>
                </c:pt>
                <c:pt idx="17">
                  <c:v>15.69488525390625</c:v>
                </c:pt>
                <c:pt idx="18">
                  <c:v>16.322680664062503</c:v>
                </c:pt>
                <c:pt idx="19">
                  <c:v>16.681420898437501</c:v>
                </c:pt>
                <c:pt idx="20">
                  <c:v>17.0401611328125</c:v>
                </c:pt>
                <c:pt idx="21">
                  <c:v>17.398901367187499</c:v>
                </c:pt>
                <c:pt idx="22">
                  <c:v>17.757641601562501</c:v>
                </c:pt>
                <c:pt idx="23">
                  <c:v>18.116381835937499</c:v>
                </c:pt>
                <c:pt idx="24">
                  <c:v>18.475122070312501</c:v>
                </c:pt>
                <c:pt idx="25">
                  <c:v>18.8338623046875</c:v>
                </c:pt>
                <c:pt idx="26">
                  <c:v>19.192602539062499</c:v>
                </c:pt>
                <c:pt idx="27">
                  <c:v>19.551342773437501</c:v>
                </c:pt>
                <c:pt idx="28">
                  <c:v>20.17913818359375</c:v>
                </c:pt>
                <c:pt idx="29">
                  <c:v>21.07598876953125</c:v>
                </c:pt>
                <c:pt idx="30">
                  <c:v>21.97283935546875</c:v>
                </c:pt>
                <c:pt idx="31">
                  <c:v>22.86968994140625</c:v>
                </c:pt>
                <c:pt idx="32">
                  <c:v>23.76654052734375</c:v>
                </c:pt>
                <c:pt idx="33">
                  <c:v>24.66339111328125</c:v>
                </c:pt>
                <c:pt idx="34">
                  <c:v>25.56024169921875</c:v>
                </c:pt>
                <c:pt idx="35">
                  <c:v>26.45709228515625</c:v>
                </c:pt>
                <c:pt idx="36">
                  <c:v>27.35394287109375</c:v>
                </c:pt>
                <c:pt idx="37">
                  <c:v>28.25079345703125</c:v>
                </c:pt>
                <c:pt idx="38">
                  <c:v>29.14764404296875</c:v>
                </c:pt>
                <c:pt idx="39">
                  <c:v>30.04449462890625</c:v>
                </c:pt>
                <c:pt idx="40">
                  <c:v>30.94134521484375</c:v>
                </c:pt>
                <c:pt idx="41">
                  <c:v>31.83819580078125</c:v>
                </c:pt>
                <c:pt idx="42">
                  <c:v>32.73504638671875</c:v>
                </c:pt>
                <c:pt idx="43">
                  <c:v>33.63189697265625</c:v>
                </c:pt>
                <c:pt idx="44">
                  <c:v>34.259692382812503</c:v>
                </c:pt>
                <c:pt idx="45">
                  <c:v>34.618432617187494</c:v>
                </c:pt>
                <c:pt idx="46">
                  <c:v>34.9771728515625</c:v>
                </c:pt>
                <c:pt idx="47">
                  <c:v>35.246228027343747</c:v>
                </c:pt>
                <c:pt idx="48">
                  <c:v>35.42559814453125</c:v>
                </c:pt>
                <c:pt idx="49">
                  <c:v>35.694653320312497</c:v>
                </c:pt>
                <c:pt idx="50">
                  <c:v>36.053393554687503</c:v>
                </c:pt>
                <c:pt idx="51">
                  <c:v>36.32244873046875</c:v>
                </c:pt>
                <c:pt idx="52">
                  <c:v>36.501818847656246</c:v>
                </c:pt>
                <c:pt idx="53">
                  <c:v>36.7708740234375</c:v>
                </c:pt>
                <c:pt idx="54">
                  <c:v>37.129614257812506</c:v>
                </c:pt>
                <c:pt idx="55">
                  <c:v>37.488354492187497</c:v>
                </c:pt>
                <c:pt idx="56">
                  <c:v>38.11614990234375</c:v>
                </c:pt>
                <c:pt idx="57">
                  <c:v>39.01300048828125</c:v>
                </c:pt>
                <c:pt idx="58">
                  <c:v>39.90985107421875</c:v>
                </c:pt>
                <c:pt idx="59">
                  <c:v>40.80670166015625</c:v>
                </c:pt>
                <c:pt idx="60">
                  <c:v>41.70355224609375</c:v>
                </c:pt>
                <c:pt idx="61">
                  <c:v>42.60040283203125</c:v>
                </c:pt>
                <c:pt idx="62">
                  <c:v>43.49725341796875</c:v>
                </c:pt>
                <c:pt idx="63">
                  <c:v>44.39410400390625</c:v>
                </c:pt>
                <c:pt idx="64">
                  <c:v>45.29095458984375</c:v>
                </c:pt>
                <c:pt idx="65">
                  <c:v>46.18780517578125</c:v>
                </c:pt>
                <c:pt idx="66">
                  <c:v>47.08465576171875</c:v>
                </c:pt>
                <c:pt idx="67">
                  <c:v>47.98150634765625</c:v>
                </c:pt>
              </c:numCache>
            </c:numRef>
          </c:xVal>
          <c:yVal>
            <c:numRef>
              <c:f>T_Diprotic_Ac_B_simulation_pH!$R$73:$R$140</c:f>
              <c:numCache>
                <c:formatCode>0.0000</c:formatCode>
                <c:ptCount val="68"/>
                <c:pt idx="0">
                  <c:v>-1.6697186960179522E-3</c:v>
                </c:pt>
                <c:pt idx="1">
                  <c:v>0.22150273283743083</c:v>
                </c:pt>
                <c:pt idx="2">
                  <c:v>0.43044190356881462</c:v>
                </c:pt>
                <c:pt idx="3">
                  <c:v>0.61552391439701792</c:v>
                </c:pt>
                <c:pt idx="4">
                  <c:v>0.77284379765041344</c:v>
                </c:pt>
                <c:pt idx="5">
                  <c:v>0.90373224111663064</c:v>
                </c:pt>
                <c:pt idx="6">
                  <c:v>1.0130084530332353</c:v>
                </c:pt>
                <c:pt idx="7">
                  <c:v>1.1071817327105107</c:v>
                </c:pt>
                <c:pt idx="8">
                  <c:v>1.1932660287961208</c:v>
                </c:pt>
                <c:pt idx="9">
                  <c:v>1.2783233825938025</c:v>
                </c:pt>
                <c:pt idx="10">
                  <c:v>1.3696173409201318</c:v>
                </c:pt>
                <c:pt idx="11">
                  <c:v>1.4752867404587919</c:v>
                </c:pt>
                <c:pt idx="12">
                  <c:v>1.6056418121547442</c:v>
                </c:pt>
                <c:pt idx="13">
                  <c:v>1.7755645189663241</c:v>
                </c:pt>
                <c:pt idx="14">
                  <c:v>2.0093745978992121</c:v>
                </c:pt>
                <c:pt idx="15">
                  <c:v>2.3520877573548638</c:v>
                </c:pt>
                <c:pt idx="16">
                  <c:v>2.9003041902649191</c:v>
                </c:pt>
                <c:pt idx="17">
                  <c:v>3.9107846474396144</c:v>
                </c:pt>
                <c:pt idx="18">
                  <c:v>5.2255480550405364</c:v>
                </c:pt>
                <c:pt idx="19">
                  <c:v>6.6217108825892135</c:v>
                </c:pt>
                <c:pt idx="20">
                  <c:v>9.173530695622869</c:v>
                </c:pt>
                <c:pt idx="21">
                  <c:v>15.41182178212582</c:v>
                </c:pt>
                <c:pt idx="22">
                  <c:v>63.225258518831573</c:v>
                </c:pt>
                <c:pt idx="23">
                  <c:v>65.484456021110162</c:v>
                </c:pt>
                <c:pt idx="24">
                  <c:v>15.500598890732839</c:v>
                </c:pt>
                <c:pt idx="25">
                  <c:v>9.26279088547596</c:v>
                </c:pt>
                <c:pt idx="26">
                  <c:v>6.7145789308802266</c:v>
                </c:pt>
                <c:pt idx="27">
                  <c:v>5.3231849478219528</c:v>
                </c:pt>
                <c:pt idx="28">
                  <c:v>4.0185336162748939</c:v>
                </c:pt>
                <c:pt idx="29">
                  <c:v>3.0254749267453791</c:v>
                </c:pt>
                <c:pt idx="30">
                  <c:v>2.4988458153186932</c:v>
                </c:pt>
                <c:pt idx="31">
                  <c:v>2.1829335924233089</c:v>
                </c:pt>
                <c:pt idx="32">
                  <c:v>1.9826571226517924</c:v>
                </c:pt>
                <c:pt idx="33">
                  <c:v>1.8550972718578218</c:v>
                </c:pt>
                <c:pt idx="34">
                  <c:v>1.7788289954264853</c:v>
                </c:pt>
                <c:pt idx="35">
                  <c:v>1.7430031197562086</c:v>
                </c:pt>
                <c:pt idx="36">
                  <c:v>0.53804923143712058</c:v>
                </c:pt>
                <c:pt idx="37">
                  <c:v>1.6895523604296854</c:v>
                </c:pt>
                <c:pt idx="38">
                  <c:v>1.7345486680801576</c:v>
                </c:pt>
                <c:pt idx="39">
                  <c:v>1.8178824446064097</c:v>
                </c:pt>
                <c:pt idx="40">
                  <c:v>1.9510093105720454</c:v>
                </c:pt>
                <c:pt idx="41">
                  <c:v>2.1557699917815736</c:v>
                </c:pt>
                <c:pt idx="42">
                  <c:v>2.4753918555115439</c:v>
                </c:pt>
                <c:pt idx="43">
                  <c:v>3.0052348017006487</c:v>
                </c:pt>
                <c:pt idx="44">
                  <c:v>3.5945054845734039</c:v>
                </c:pt>
                <c:pt idx="45">
                  <c:v>4.1045350650860755</c:v>
                </c:pt>
                <c:pt idx="46">
                  <c:v>4.8251622652512216</c:v>
                </c:pt>
                <c:pt idx="47">
                  <c:v>5.5765242625785252</c:v>
                </c:pt>
                <c:pt idx="48">
                  <c:v>6.256708252071336</c:v>
                </c:pt>
                <c:pt idx="49">
                  <c:v>7.759662104717961</c:v>
                </c:pt>
                <c:pt idx="50">
                  <c:v>11.324242156182496</c:v>
                </c:pt>
                <c:pt idx="51">
                  <c:v>17.539149481356748</c:v>
                </c:pt>
                <c:pt idx="52">
                  <c:v>12.424009805946557</c:v>
                </c:pt>
                <c:pt idx="53">
                  <c:v>8.7348672295758085</c:v>
                </c:pt>
                <c:pt idx="54">
                  <c:v>6.1774640875761069</c:v>
                </c:pt>
                <c:pt idx="55">
                  <c:v>4.7762494657018939</c:v>
                </c:pt>
                <c:pt idx="56">
                  <c:v>3.4529580385677985</c:v>
                </c:pt>
                <c:pt idx="57">
                  <c:v>2.4304493188648606</c:v>
                </c:pt>
                <c:pt idx="58">
                  <c:v>1.8704081197774935</c:v>
                </c:pt>
                <c:pt idx="59">
                  <c:v>1.5163577936300552</c:v>
                </c:pt>
                <c:pt idx="60">
                  <c:v>1.2721856089261439</c:v>
                </c:pt>
                <c:pt idx="61">
                  <c:v>1.0935978147010099</c:v>
                </c:pt>
                <c:pt idx="62">
                  <c:v>0.9573106771581712</c:v>
                </c:pt>
                <c:pt idx="63">
                  <c:v>0.84990386037027876</c:v>
                </c:pt>
                <c:pt idx="64">
                  <c:v>0.7630942096247777</c:v>
                </c:pt>
                <c:pt idx="65">
                  <c:v>0.69149098139607534</c:v>
                </c:pt>
                <c:pt idx="66">
                  <c:v>0.6314341044672056</c:v>
                </c:pt>
                <c:pt idx="67">
                  <c:v>0.58035097496698684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50-4890-AD11-D35BD20AF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81424"/>
        <c:axId val="2144082672"/>
      </c:scatterChart>
      <c:scatterChart>
        <c:scatterStyle val="lineMarker"/>
        <c:varyColors val="0"/>
        <c:ser>
          <c:idx val="1"/>
          <c:order val="1"/>
          <c:tx>
            <c:v>2and Der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T_Diprotic_Ac_B_simulation_pH!$T$74:$T$140</c:f>
              <c:numCache>
                <c:formatCode>0.0000</c:formatCode>
                <c:ptCount val="67"/>
                <c:pt idx="0">
                  <c:v>0.8968505859375</c:v>
                </c:pt>
                <c:pt idx="1">
                  <c:v>1.793701171875</c:v>
                </c:pt>
                <c:pt idx="2">
                  <c:v>2.6905517578125</c:v>
                </c:pt>
                <c:pt idx="3">
                  <c:v>3.58740234375</c:v>
                </c:pt>
                <c:pt idx="4">
                  <c:v>4.4842529296875</c:v>
                </c:pt>
                <c:pt idx="5">
                  <c:v>5.381103515625</c:v>
                </c:pt>
                <c:pt idx="6">
                  <c:v>6.2779541015625</c:v>
                </c:pt>
                <c:pt idx="7">
                  <c:v>7.1748046875</c:v>
                </c:pt>
                <c:pt idx="8">
                  <c:v>8.0716552734375</c:v>
                </c:pt>
                <c:pt idx="9">
                  <c:v>8.968505859375</c:v>
                </c:pt>
                <c:pt idx="10">
                  <c:v>9.8653564453125</c:v>
                </c:pt>
                <c:pt idx="11">
                  <c:v>10.76220703125</c:v>
                </c:pt>
                <c:pt idx="12">
                  <c:v>11.6590576171875</c:v>
                </c:pt>
                <c:pt idx="13">
                  <c:v>12.555908203125</c:v>
                </c:pt>
                <c:pt idx="14">
                  <c:v>13.4527587890625</c:v>
                </c:pt>
                <c:pt idx="15">
                  <c:v>14.349609375</c:v>
                </c:pt>
                <c:pt idx="16">
                  <c:v>15.2464599609375</c:v>
                </c:pt>
                <c:pt idx="17">
                  <c:v>16.008782958984376</c:v>
                </c:pt>
                <c:pt idx="18">
                  <c:v>16.502050781250002</c:v>
                </c:pt>
                <c:pt idx="19">
                  <c:v>16.860791015625001</c:v>
                </c:pt>
                <c:pt idx="20">
                  <c:v>17.219531249999999</c:v>
                </c:pt>
                <c:pt idx="21">
                  <c:v>17.578271484375001</c:v>
                </c:pt>
                <c:pt idx="22">
                  <c:v>17.93701171875</c:v>
                </c:pt>
                <c:pt idx="23">
                  <c:v>18.295751953124999</c:v>
                </c:pt>
                <c:pt idx="24">
                  <c:v>18.654492187500001</c:v>
                </c:pt>
                <c:pt idx="25">
                  <c:v>19.013232421874999</c:v>
                </c:pt>
                <c:pt idx="26">
                  <c:v>19.371972656250001</c:v>
                </c:pt>
                <c:pt idx="27">
                  <c:v>19.865240478515624</c:v>
                </c:pt>
                <c:pt idx="28">
                  <c:v>20.6275634765625</c:v>
                </c:pt>
                <c:pt idx="29">
                  <c:v>21.5244140625</c:v>
                </c:pt>
                <c:pt idx="30">
                  <c:v>22.4212646484375</c:v>
                </c:pt>
                <c:pt idx="31">
                  <c:v>23.318115234375</c:v>
                </c:pt>
                <c:pt idx="32">
                  <c:v>24.2149658203125</c:v>
                </c:pt>
                <c:pt idx="33">
                  <c:v>25.11181640625</c:v>
                </c:pt>
                <c:pt idx="34">
                  <c:v>26.0086669921875</c:v>
                </c:pt>
                <c:pt idx="35">
                  <c:v>26.905517578125</c:v>
                </c:pt>
                <c:pt idx="36">
                  <c:v>27.8023681640625</c:v>
                </c:pt>
                <c:pt idx="37">
                  <c:v>28.69921875</c:v>
                </c:pt>
                <c:pt idx="38">
                  <c:v>29.5960693359375</c:v>
                </c:pt>
                <c:pt idx="39">
                  <c:v>30.492919921875</c:v>
                </c:pt>
                <c:pt idx="40">
                  <c:v>31.3897705078125</c:v>
                </c:pt>
                <c:pt idx="41">
                  <c:v>32.28662109375</c:v>
                </c:pt>
                <c:pt idx="42">
                  <c:v>33.1834716796875</c:v>
                </c:pt>
                <c:pt idx="43">
                  <c:v>33.945794677734376</c:v>
                </c:pt>
                <c:pt idx="44">
                  <c:v>34.439062499999999</c:v>
                </c:pt>
                <c:pt idx="45">
                  <c:v>34.797802734374997</c:v>
                </c:pt>
                <c:pt idx="46">
                  <c:v>35.111700439453124</c:v>
                </c:pt>
                <c:pt idx="47">
                  <c:v>35.335913085937499</c:v>
                </c:pt>
                <c:pt idx="48">
                  <c:v>35.560125732421874</c:v>
                </c:pt>
                <c:pt idx="49">
                  <c:v>35.8740234375</c:v>
                </c:pt>
                <c:pt idx="50">
                  <c:v>36.187921142578126</c:v>
                </c:pt>
                <c:pt idx="51">
                  <c:v>36.412133789062494</c:v>
                </c:pt>
                <c:pt idx="52">
                  <c:v>36.636346435546869</c:v>
                </c:pt>
                <c:pt idx="53">
                  <c:v>36.950244140625003</c:v>
                </c:pt>
                <c:pt idx="54">
                  <c:v>37.308984375000001</c:v>
                </c:pt>
                <c:pt idx="55">
                  <c:v>37.802252197265624</c:v>
                </c:pt>
                <c:pt idx="56">
                  <c:v>38.5645751953125</c:v>
                </c:pt>
                <c:pt idx="57">
                  <c:v>39.46142578125</c:v>
                </c:pt>
                <c:pt idx="58">
                  <c:v>40.3582763671875</c:v>
                </c:pt>
                <c:pt idx="59">
                  <c:v>41.255126953125</c:v>
                </c:pt>
                <c:pt idx="60">
                  <c:v>42.1519775390625</c:v>
                </c:pt>
                <c:pt idx="61">
                  <c:v>43.048828125</c:v>
                </c:pt>
                <c:pt idx="62">
                  <c:v>43.9456787109375</c:v>
                </c:pt>
                <c:pt idx="63">
                  <c:v>44.842529296875</c:v>
                </c:pt>
                <c:pt idx="64">
                  <c:v>45.7393798828125</c:v>
                </c:pt>
                <c:pt idx="65">
                  <c:v>46.63623046875</c:v>
                </c:pt>
                <c:pt idx="66">
                  <c:v>47.5330810546875</c:v>
                </c:pt>
              </c:numCache>
            </c:numRef>
          </c:xVal>
          <c:yVal>
            <c:numRef>
              <c:f>T_Diprotic_Ac_B_simulation_pH!$U$74:$U$140</c:f>
              <c:numCache>
                <c:formatCode>0.0000</c:formatCode>
                <c:ptCount val="67"/>
                <c:pt idx="0">
                  <c:v>0.24884016917953075</c:v>
                </c:pt>
                <c:pt idx="1">
                  <c:v>0.23296987704253383</c:v>
                </c:pt>
                <c:pt idx="2">
                  <c:v>0.20636883526672675</c:v>
                </c:pt>
                <c:pt idx="3">
                  <c:v>0.17541370404407461</c:v>
                </c:pt>
                <c:pt idx="4">
                  <c:v>0.14594230691101828</c:v>
                </c:pt>
                <c:pt idx="5">
                  <c:v>0.12184438927736833</c:v>
                </c:pt>
                <c:pt idx="6">
                  <c:v>0.10500442454283927</c:v>
                </c:pt>
                <c:pt idx="7">
                  <c:v>9.5985103243952333E-2</c:v>
                </c:pt>
                <c:pt idx="8">
                  <c:v>9.4840049314088598E-2</c:v>
                </c:pt>
                <c:pt idx="9">
                  <c:v>0.10179394400561988</c:v>
                </c:pt>
                <c:pt idx="10">
                  <c:v>0.11782274683826108</c:v>
                </c:pt>
                <c:pt idx="11">
                  <c:v>0.14534759049043708</c:v>
                </c:pt>
                <c:pt idx="12">
                  <c:v>0.18946601527160228</c:v>
                </c:pt>
                <c:pt idx="13">
                  <c:v>0.26070126127919141</c:v>
                </c:pt>
                <c:pt idx="14">
                  <c:v>0.38212960422767089</c:v>
                </c:pt>
                <c:pt idx="15">
                  <c:v>0.6112684113786816</c:v>
                </c:pt>
                <c:pt idx="16">
                  <c:v>1.1266987757145914</c:v>
                </c:pt>
                <c:pt idx="17">
                  <c:v>2.0942545713637646</c:v>
                </c:pt>
                <c:pt idx="18">
                  <c:v>3.8918490143183639</c:v>
                </c:pt>
                <c:pt idx="19">
                  <c:v>7.1132802192635731</c:v>
                </c:pt>
                <c:pt idx="20">
                  <c:v>17.389438063370211</c:v>
                </c:pt>
                <c:pt idx="21">
                  <c:v>133.28150052643636</c:v>
                </c:pt>
                <c:pt idx="22">
                  <c:v>6.297586068690034</c:v>
                </c:pt>
                <c:pt idx="23">
                  <c:v>-139.33161753506485</c:v>
                </c:pt>
                <c:pt idx="24">
                  <c:v>-17.388091458780643</c:v>
                </c:pt>
                <c:pt idx="25">
                  <c:v>-7.1032231972398021</c:v>
                </c:pt>
                <c:pt idx="26">
                  <c:v>-3.8785557061430893</c:v>
                </c:pt>
                <c:pt idx="27">
                  <c:v>-2.0781472920013062</c:v>
                </c:pt>
                <c:pt idx="28">
                  <c:v>-1.1072732795189582</c:v>
                </c:pt>
                <c:pt idx="29">
                  <c:v>-0.58719826879099102</c:v>
                </c:pt>
                <c:pt idx="30">
                  <c:v>-0.35224621341486168</c:v>
                </c:pt>
                <c:pt idx="31">
                  <c:v>-0.22331085345967919</c:v>
                </c:pt>
                <c:pt idx="32">
                  <c:v>-0.14223088304126949</c:v>
                </c:pt>
                <c:pt idx="33">
                  <c:v>-8.5040114403907519E-2</c:v>
                </c:pt>
                <c:pt idx="34">
                  <c:v>-3.9946314616973864E-2</c:v>
                </c:pt>
                <c:pt idx="35">
                  <c:v>-1.3435391660691396</c:v>
                </c:pt>
                <c:pt idx="36">
                  <c:v>1.2839408782778128</c:v>
                </c:pt>
                <c:pt idx="37">
                  <c:v>5.0171464852683902E-2</c:v>
                </c:pt>
                <c:pt idx="38">
                  <c:v>9.2918238369818551E-2</c:v>
                </c:pt>
                <c:pt idx="39">
                  <c:v>0.14843817694167522</c:v>
                </c:pt>
                <c:pt idx="40">
                  <c:v>0.22831080719592417</c:v>
                </c:pt>
                <c:pt idx="41">
                  <c:v>0.35638251091274226</c:v>
                </c:pt>
                <c:pt idx="42">
                  <c:v>0.59078173610741069</c:v>
                </c:pt>
                <c:pt idx="43">
                  <c:v>0.93863490133846439</c:v>
                </c:pt>
                <c:pt idx="44">
                  <c:v>1.4217239429562762</c:v>
                </c:pt>
                <c:pt idx="45">
                  <c:v>2.008771615541304</c:v>
                </c:pt>
                <c:pt idx="46">
                  <c:v>2.7925944748901301</c:v>
                </c:pt>
                <c:pt idx="47">
                  <c:v>3.7920697168402189</c:v>
                </c:pt>
                <c:pt idx="48">
                  <c:v>5.5860432652244825</c:v>
                </c:pt>
                <c:pt idx="49">
                  <c:v>9.936382122497962</c:v>
                </c:pt>
                <c:pt idx="50">
                  <c:v>23.099006763680418</c:v>
                </c:pt>
                <c:pt idx="51">
                  <c:v>-28.517234395645353</c:v>
                </c:pt>
                <c:pt idx="52">
                  <c:v>-13.711472249729457</c:v>
                </c:pt>
                <c:pt idx="53">
                  <c:v>-7.1288439292436454</c:v>
                </c:pt>
                <c:pt idx="54">
                  <c:v>-3.9059310543057797</c:v>
                </c:pt>
                <c:pt idx="55">
                  <c:v>-2.1078386457217642</c:v>
                </c:pt>
                <c:pt idx="56">
                  <c:v>-1.1401104439644028</c:v>
                </c:pt>
                <c:pt idx="57">
                  <c:v>-0.62445317856590588</c:v>
                </c:pt>
                <c:pt idx="58">
                  <c:v>-0.39477069168365525</c:v>
                </c:pt>
                <c:pt idx="59">
                  <c:v>-0.27225514320055011</c:v>
                </c:pt>
                <c:pt idx="60">
                  <c:v>-0.19912769978117562</c:v>
                </c:pt>
                <c:pt idx="61">
                  <c:v>-0.15196192061398323</c:v>
                </c:pt>
                <c:pt idx="62">
                  <c:v>-0.1197599895367381</c:v>
                </c:pt>
                <c:pt idx="63">
                  <c:v>-9.6793883068891348E-2</c:v>
                </c:pt>
                <c:pt idx="64">
                  <c:v>-7.9838525336808172E-2</c:v>
                </c:pt>
                <c:pt idx="65">
                  <c:v>-6.6964194338002034E-2</c:v>
                </c:pt>
                <c:pt idx="66">
                  <c:v>-5.6958349920483473E-2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50-4890-AD11-D35BD20AF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22272"/>
        <c:axId val="63319360"/>
      </c:scatterChart>
      <c:valAx>
        <c:axId val="214408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800" b="1"/>
                  <a:t>V_NaOH / cm3</a:t>
                </a:r>
              </a:p>
            </c:rich>
          </c:tx>
          <c:layout>
            <c:manualLayout>
              <c:xMode val="edge"/>
              <c:yMode val="edge"/>
              <c:x val="0.62561627476800252"/>
              <c:y val="0.93244623547418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2672"/>
        <c:crosses val="autoZero"/>
        <c:crossBetween val="midCat"/>
      </c:valAx>
      <c:valAx>
        <c:axId val="214408267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2400"/>
                  <a:t>1St Der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1424"/>
        <c:crosses val="autoZero"/>
        <c:crossBetween val="midCat"/>
      </c:valAx>
      <c:valAx>
        <c:axId val="633193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600"/>
                  <a:t>2and Der</a:t>
                </a:r>
              </a:p>
            </c:rich>
          </c:tx>
          <c:layout>
            <c:manualLayout>
              <c:xMode val="edge"/>
              <c:yMode val="edge"/>
              <c:x val="0.93270565717490805"/>
              <c:y val="0.43526076777431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3322272"/>
        <c:crosses val="max"/>
        <c:crossBetween val="midCat"/>
      </c:valAx>
      <c:valAx>
        <c:axId val="63322272"/>
        <c:scaling>
          <c:orientation val="minMax"/>
        </c:scaling>
        <c:delete val="1"/>
        <c:axPos val="b"/>
        <c:numFmt formatCode="0.0000" sourceLinked="1"/>
        <c:majorTickMark val="out"/>
        <c:minorTickMark val="none"/>
        <c:tickLblPos val="nextTo"/>
        <c:crossAx val="63319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1408540313429215"/>
          <c:y val="0.17995509094629192"/>
          <c:w val="0.32779871114023407"/>
          <c:h val="8.95035377321879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2400" b="1"/>
              <a:t>Speciation Plot </a:t>
            </a:r>
            <a:r>
              <a:rPr lang="pt-PT" sz="2400" baseline="0"/>
              <a:t>= f (V_NaOH)</a:t>
            </a:r>
            <a:endParaRPr lang="pt-PT" sz="2400"/>
          </a:p>
        </c:rich>
      </c:tx>
      <c:layout>
        <c:manualLayout>
          <c:xMode val="edge"/>
          <c:yMode val="edge"/>
          <c:x val="0.12236662280990906"/>
          <c:y val="0.1071989916142081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840953259589807"/>
          <c:y val="0.16879264771079719"/>
          <c:w val="0.81277180962030993"/>
          <c:h val="0.73023487661390407"/>
        </c:manualLayout>
      </c:layout>
      <c:scatterChart>
        <c:scatterStyle val="lineMarker"/>
        <c:varyColors val="0"/>
        <c:ser>
          <c:idx val="1"/>
          <c:order val="0"/>
          <c:tx>
            <c:v>H2A+</c:v>
          </c:tx>
          <c:xVal>
            <c:numRef>
              <c:f>T_Diprotic_Ac_B_simulation_pH!$D$72:$D$140</c:f>
              <c:numCache>
                <c:formatCode>0.00</c:formatCode>
                <c:ptCount val="69"/>
                <c:pt idx="0">
                  <c:v>0</c:v>
                </c:pt>
                <c:pt idx="1">
                  <c:v>0.8968505859375</c:v>
                </c:pt>
                <c:pt idx="2">
                  <c:v>1.793701171875</c:v>
                </c:pt>
                <c:pt idx="3">
                  <c:v>2.6905517578125</c:v>
                </c:pt>
                <c:pt idx="4">
                  <c:v>3.58740234375</c:v>
                </c:pt>
                <c:pt idx="5">
                  <c:v>4.4842529296875</c:v>
                </c:pt>
                <c:pt idx="6">
                  <c:v>5.381103515625</c:v>
                </c:pt>
                <c:pt idx="7">
                  <c:v>6.2779541015625</c:v>
                </c:pt>
                <c:pt idx="8">
                  <c:v>7.1748046875</c:v>
                </c:pt>
                <c:pt idx="9">
                  <c:v>8.0716552734375</c:v>
                </c:pt>
                <c:pt idx="10">
                  <c:v>8.968505859375</c:v>
                </c:pt>
                <c:pt idx="11">
                  <c:v>9.8653564453125</c:v>
                </c:pt>
                <c:pt idx="12">
                  <c:v>10.76220703125</c:v>
                </c:pt>
                <c:pt idx="13">
                  <c:v>11.6590576171875</c:v>
                </c:pt>
                <c:pt idx="14">
                  <c:v>12.555908203125</c:v>
                </c:pt>
                <c:pt idx="15">
                  <c:v>13.4527587890625</c:v>
                </c:pt>
                <c:pt idx="16">
                  <c:v>14.349609375</c:v>
                </c:pt>
                <c:pt idx="17">
                  <c:v>15.2464599609375</c:v>
                </c:pt>
                <c:pt idx="18">
                  <c:v>16.143310546875</c:v>
                </c:pt>
                <c:pt idx="19">
                  <c:v>16.502050781250002</c:v>
                </c:pt>
                <c:pt idx="20">
                  <c:v>16.860791015625001</c:v>
                </c:pt>
                <c:pt idx="21">
                  <c:v>17.219531249999999</c:v>
                </c:pt>
                <c:pt idx="22">
                  <c:v>17.578271484375001</c:v>
                </c:pt>
                <c:pt idx="23">
                  <c:v>17.93701171875</c:v>
                </c:pt>
                <c:pt idx="24">
                  <c:v>18.295751953124999</c:v>
                </c:pt>
                <c:pt idx="25">
                  <c:v>18.654492187500001</c:v>
                </c:pt>
                <c:pt idx="26">
                  <c:v>19.013232421874999</c:v>
                </c:pt>
                <c:pt idx="27">
                  <c:v>19.371972656250001</c:v>
                </c:pt>
                <c:pt idx="28">
                  <c:v>19.730712890625</c:v>
                </c:pt>
                <c:pt idx="29">
                  <c:v>20.6275634765625</c:v>
                </c:pt>
                <c:pt idx="30">
                  <c:v>21.5244140625</c:v>
                </c:pt>
                <c:pt idx="31">
                  <c:v>22.4212646484375</c:v>
                </c:pt>
                <c:pt idx="32">
                  <c:v>23.318115234375</c:v>
                </c:pt>
                <c:pt idx="33">
                  <c:v>24.2149658203125</c:v>
                </c:pt>
                <c:pt idx="34">
                  <c:v>25.11181640625</c:v>
                </c:pt>
                <c:pt idx="35">
                  <c:v>26.0086669921875</c:v>
                </c:pt>
                <c:pt idx="36">
                  <c:v>26.905517578125</c:v>
                </c:pt>
                <c:pt idx="37">
                  <c:v>27.8023681640625</c:v>
                </c:pt>
                <c:pt idx="38">
                  <c:v>28.69921875</c:v>
                </c:pt>
                <c:pt idx="39">
                  <c:v>29.5960693359375</c:v>
                </c:pt>
                <c:pt idx="40">
                  <c:v>30.492919921875</c:v>
                </c:pt>
                <c:pt idx="41">
                  <c:v>31.3897705078125</c:v>
                </c:pt>
                <c:pt idx="42">
                  <c:v>32.28662109375</c:v>
                </c:pt>
                <c:pt idx="43">
                  <c:v>33.1834716796875</c:v>
                </c:pt>
                <c:pt idx="44">
                  <c:v>34.080322265625</c:v>
                </c:pt>
                <c:pt idx="45">
                  <c:v>34.439062499999999</c:v>
                </c:pt>
                <c:pt idx="46">
                  <c:v>34.797802734374997</c:v>
                </c:pt>
                <c:pt idx="47">
                  <c:v>35.156542968750003</c:v>
                </c:pt>
                <c:pt idx="48">
                  <c:v>35.335913085937499</c:v>
                </c:pt>
                <c:pt idx="49">
                  <c:v>35.515283203125001</c:v>
                </c:pt>
                <c:pt idx="50">
                  <c:v>35.8740234375</c:v>
                </c:pt>
                <c:pt idx="51">
                  <c:v>36.232763671874999</c:v>
                </c:pt>
                <c:pt idx="52">
                  <c:v>36.412133789062494</c:v>
                </c:pt>
                <c:pt idx="53">
                  <c:v>36.591503906249997</c:v>
                </c:pt>
                <c:pt idx="54">
                  <c:v>36.950244140625003</c:v>
                </c:pt>
                <c:pt idx="55">
                  <c:v>37.308984375000001</c:v>
                </c:pt>
                <c:pt idx="56">
                  <c:v>37.667724609375</c:v>
                </c:pt>
                <c:pt idx="57">
                  <c:v>38.5645751953125</c:v>
                </c:pt>
                <c:pt idx="58">
                  <c:v>39.46142578125</c:v>
                </c:pt>
                <c:pt idx="59">
                  <c:v>40.3582763671875</c:v>
                </c:pt>
                <c:pt idx="60">
                  <c:v>41.255126953125</c:v>
                </c:pt>
                <c:pt idx="61">
                  <c:v>42.1519775390625</c:v>
                </c:pt>
                <c:pt idx="62">
                  <c:v>43.048828125</c:v>
                </c:pt>
                <c:pt idx="63">
                  <c:v>43.9456787109375</c:v>
                </c:pt>
                <c:pt idx="64">
                  <c:v>44.842529296875</c:v>
                </c:pt>
                <c:pt idx="65">
                  <c:v>45.7393798828125</c:v>
                </c:pt>
                <c:pt idx="66">
                  <c:v>46.63623046875</c:v>
                </c:pt>
                <c:pt idx="67">
                  <c:v>47.5330810546875</c:v>
                </c:pt>
                <c:pt idx="68">
                  <c:v>48.429931640625</c:v>
                </c:pt>
              </c:numCache>
            </c:numRef>
          </c:xVal>
          <c:yVal>
            <c:numRef>
              <c:f>T_Diprotic_Ac_B_simulation_pH!$H$72:$H$140</c:f>
              <c:numCache>
                <c:formatCode>0.00E+00</c:formatCode>
                <c:ptCount val="69"/>
                <c:pt idx="0">
                  <c:v>1.5542225854736602E-2</c:v>
                </c:pt>
                <c:pt idx="1">
                  <c:v>1.5359646664042067E-2</c:v>
                </c:pt>
                <c:pt idx="2">
                  <c:v>1.5038364143419263E-2</c:v>
                </c:pt>
                <c:pt idx="3">
                  <c:v>1.4589582208707709E-2</c:v>
                </c:pt>
                <c:pt idx="4">
                  <c:v>1.4028625375457345E-2</c:v>
                </c:pt>
                <c:pt idx="5">
                  <c:v>1.3372855118190643E-2</c:v>
                </c:pt>
                <c:pt idx="6">
                  <c:v>1.2639742992908133E-2</c:v>
                </c:pt>
                <c:pt idx="7">
                  <c:v>1.1845505092198691E-2</c:v>
                </c:pt>
                <c:pt idx="8">
                  <c:v>1.1004370544356736E-2</c:v>
                </c:pt>
                <c:pt idx="9">
                  <c:v>1.0128351947717882E-2</c:v>
                </c:pt>
                <c:pt idx="10">
                  <c:v>9.2273297424127713E-3</c:v>
                </c:pt>
                <c:pt idx="11">
                  <c:v>8.309292235318495E-3</c:v>
                </c:pt>
                <c:pt idx="12">
                  <c:v>7.3806269472069651E-3</c:v>
                </c:pt>
                <c:pt idx="13">
                  <c:v>6.4464058069845995E-3</c:v>
                </c:pt>
                <c:pt idx="14">
                  <c:v>5.5106381641242793E-3</c:v>
                </c:pt>
                <c:pt idx="15">
                  <c:v>4.5764836037191651E-3</c:v>
                </c:pt>
                <c:pt idx="16">
                  <c:v>3.6464255441684343E-3</c:v>
                </c:pt>
                <c:pt idx="17">
                  <c:v>2.7224103520939857E-3</c:v>
                </c:pt>
                <c:pt idx="18">
                  <c:v>1.8059577326183813E-3</c:v>
                </c:pt>
                <c:pt idx="19">
                  <c:v>1.4417683147357253E-3</c:v>
                </c:pt>
                <c:pt idx="20">
                  <c:v>1.0790433705580899E-3</c:v>
                </c:pt>
                <c:pt idx="21">
                  <c:v>7.1783922588558786E-4</c:v>
                </c:pt>
                <c:pt idx="22">
                  <c:v>3.582064546146882E-4</c:v>
                </c:pt>
                <c:pt idx="23">
                  <c:v>8.7907795428323804E-6</c:v>
                </c:pt>
                <c:pt idx="24">
                  <c:v>9.4564347461396859E-7</c:v>
                </c:pt>
                <c:pt idx="25">
                  <c:v>4.5195487577429121E-7</c:v>
                </c:pt>
                <c:pt idx="26">
                  <c:v>2.8776368721351425E-7</c:v>
                </c:pt>
                <c:pt idx="27">
                  <c:v>2.0594471006480497E-7</c:v>
                </c:pt>
                <c:pt idx="28">
                  <c:v>1.5707030546904175E-7</c:v>
                </c:pt>
                <c:pt idx="29">
                  <c:v>9.2523494713548396E-8</c:v>
                </c:pt>
                <c:pt idx="30">
                  <c:v>6.0896974764176149E-8</c:v>
                </c:pt>
                <c:pt idx="31">
                  <c:v>4.2423705163353499E-8</c:v>
                </c:pt>
                <c:pt idx="32">
                  <c:v>3.0515426196778111E-8</c:v>
                </c:pt>
                <c:pt idx="33">
                  <c:v>2.2349039080430271E-8</c:v>
                </c:pt>
                <c:pt idx="34">
                  <c:v>1.6513320837284746E-8</c:v>
                </c:pt>
                <c:pt idx="35">
                  <c:v>1.2224522838560346E-8</c:v>
                </c:pt>
                <c:pt idx="36">
                  <c:v>9.0126183102221923E-9</c:v>
                </c:pt>
                <c:pt idx="37">
                  <c:v>8.1373666608625281E-9</c:v>
                </c:pt>
                <c:pt idx="38">
                  <c:v>5.9792049118377992E-9</c:v>
                </c:pt>
                <c:pt idx="39">
                  <c:v>4.3169270317198898E-9</c:v>
                </c:pt>
                <c:pt idx="40">
                  <c:v>3.0389063114303968E-9</c:v>
                </c:pt>
                <c:pt idx="41">
                  <c:v>2.063793683423233E-9</c:v>
                </c:pt>
                <c:pt idx="42">
                  <c:v>1.330942625809323E-9</c:v>
                </c:pt>
                <c:pt idx="43">
                  <c:v>7.9424800827551562E-10</c:v>
                </c:pt>
                <c:pt idx="44">
                  <c:v>4.1805918337354706E-10</c:v>
                </c:pt>
                <c:pt idx="45">
                  <c:v>3.0604828980533186E-10</c:v>
                </c:pt>
                <c:pt idx="46">
                  <c:v>2.1366486568530306E-10</c:v>
                </c:pt>
                <c:pt idx="47">
                  <c:v>1.3952509747640161E-10</c:v>
                </c:pt>
                <c:pt idx="48">
                  <c:v>1.0889621730468008E-10</c:v>
                </c:pt>
                <c:pt idx="49">
                  <c:v>8.2361260426051192E-11</c:v>
                </c:pt>
                <c:pt idx="50">
                  <c:v>4.1009956612452076E-11</c:v>
                </c:pt>
                <c:pt idx="51">
                  <c:v>1.4308636463289791E-11</c:v>
                </c:pt>
                <c:pt idx="52">
                  <c:v>6.1369629290233473E-12</c:v>
                </c:pt>
                <c:pt idx="53">
                  <c:v>3.3497444712505268E-12</c:v>
                </c:pt>
                <c:pt idx="54">
                  <c:v>1.4485299396725901E-12</c:v>
                </c:pt>
                <c:pt idx="55">
                  <c:v>7.9763798489168947E-13</c:v>
                </c:pt>
                <c:pt idx="56">
                  <c:v>5.01668733262362E-13</c:v>
                </c:pt>
                <c:pt idx="57">
                  <c:v>2.1868356328690667E-13</c:v>
                </c:pt>
                <c:pt idx="58">
                  <c:v>1.2113829494283605E-13</c:v>
                </c:pt>
                <c:pt idx="59">
                  <c:v>7.6525523263029697E-14</c:v>
                </c:pt>
                <c:pt idx="60">
                  <c:v>5.2536304669663737E-14</c:v>
                </c:pt>
                <c:pt idx="61">
                  <c:v>3.8201278067466207E-14</c:v>
                </c:pt>
                <c:pt idx="62">
                  <c:v>2.8973292335923412E-14</c:v>
                </c:pt>
                <c:pt idx="63">
                  <c:v>2.2694485149378249E-14</c:v>
                </c:pt>
                <c:pt idx="64">
                  <c:v>1.8235130305351865E-14</c:v>
                </c:pt>
                <c:pt idx="65">
                  <c:v>1.4957805336853793E-14</c:v>
                </c:pt>
                <c:pt idx="66">
                  <c:v>1.2480989851784844E-14</c:v>
                </c:pt>
                <c:pt idx="67">
                  <c:v>1.0565148371747414E-14</c:v>
                </c:pt>
                <c:pt idx="68">
                  <c:v>9.053824803511066E-15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45-4653-9203-A137368614BB}"/>
            </c:ext>
          </c:extLst>
        </c:ser>
        <c:ser>
          <c:idx val="0"/>
          <c:order val="1"/>
          <c:tx>
            <c:v>HA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T_Diprotic_Ac_B_simulation_pH!$D$72:$D$140</c:f>
              <c:numCache>
                <c:formatCode>0.00</c:formatCode>
                <c:ptCount val="69"/>
                <c:pt idx="0">
                  <c:v>0</c:v>
                </c:pt>
                <c:pt idx="1">
                  <c:v>0.8968505859375</c:v>
                </c:pt>
                <c:pt idx="2">
                  <c:v>1.793701171875</c:v>
                </c:pt>
                <c:pt idx="3">
                  <c:v>2.6905517578125</c:v>
                </c:pt>
                <c:pt idx="4">
                  <c:v>3.58740234375</c:v>
                </c:pt>
                <c:pt idx="5">
                  <c:v>4.4842529296875</c:v>
                </c:pt>
                <c:pt idx="6">
                  <c:v>5.381103515625</c:v>
                </c:pt>
                <c:pt idx="7">
                  <c:v>6.2779541015625</c:v>
                </c:pt>
                <c:pt idx="8">
                  <c:v>7.1748046875</c:v>
                </c:pt>
                <c:pt idx="9">
                  <c:v>8.0716552734375</c:v>
                </c:pt>
                <c:pt idx="10">
                  <c:v>8.968505859375</c:v>
                </c:pt>
                <c:pt idx="11">
                  <c:v>9.8653564453125</c:v>
                </c:pt>
                <c:pt idx="12">
                  <c:v>10.76220703125</c:v>
                </c:pt>
                <c:pt idx="13">
                  <c:v>11.6590576171875</c:v>
                </c:pt>
                <c:pt idx="14">
                  <c:v>12.555908203125</c:v>
                </c:pt>
                <c:pt idx="15">
                  <c:v>13.4527587890625</c:v>
                </c:pt>
                <c:pt idx="16">
                  <c:v>14.349609375</c:v>
                </c:pt>
                <c:pt idx="17">
                  <c:v>15.2464599609375</c:v>
                </c:pt>
                <c:pt idx="18">
                  <c:v>16.143310546875</c:v>
                </c:pt>
                <c:pt idx="19">
                  <c:v>16.502050781250002</c:v>
                </c:pt>
                <c:pt idx="20">
                  <c:v>16.860791015625001</c:v>
                </c:pt>
                <c:pt idx="21">
                  <c:v>17.219531249999999</c:v>
                </c:pt>
                <c:pt idx="22">
                  <c:v>17.578271484375001</c:v>
                </c:pt>
                <c:pt idx="23">
                  <c:v>17.93701171875</c:v>
                </c:pt>
                <c:pt idx="24">
                  <c:v>18.295751953124999</c:v>
                </c:pt>
                <c:pt idx="25">
                  <c:v>18.654492187500001</c:v>
                </c:pt>
                <c:pt idx="26">
                  <c:v>19.013232421874999</c:v>
                </c:pt>
                <c:pt idx="27">
                  <c:v>19.371972656250001</c:v>
                </c:pt>
                <c:pt idx="28">
                  <c:v>19.730712890625</c:v>
                </c:pt>
                <c:pt idx="29">
                  <c:v>20.6275634765625</c:v>
                </c:pt>
                <c:pt idx="30">
                  <c:v>21.5244140625</c:v>
                </c:pt>
                <c:pt idx="31">
                  <c:v>22.4212646484375</c:v>
                </c:pt>
                <c:pt idx="32">
                  <c:v>23.318115234375</c:v>
                </c:pt>
                <c:pt idx="33">
                  <c:v>24.2149658203125</c:v>
                </c:pt>
                <c:pt idx="34">
                  <c:v>25.11181640625</c:v>
                </c:pt>
                <c:pt idx="35">
                  <c:v>26.0086669921875</c:v>
                </c:pt>
                <c:pt idx="36">
                  <c:v>26.905517578125</c:v>
                </c:pt>
                <c:pt idx="37">
                  <c:v>27.8023681640625</c:v>
                </c:pt>
                <c:pt idx="38">
                  <c:v>28.69921875</c:v>
                </c:pt>
                <c:pt idx="39">
                  <c:v>29.5960693359375</c:v>
                </c:pt>
                <c:pt idx="40">
                  <c:v>30.492919921875</c:v>
                </c:pt>
                <c:pt idx="41">
                  <c:v>31.3897705078125</c:v>
                </c:pt>
                <c:pt idx="42">
                  <c:v>32.28662109375</c:v>
                </c:pt>
                <c:pt idx="43">
                  <c:v>33.1834716796875</c:v>
                </c:pt>
                <c:pt idx="44">
                  <c:v>34.080322265625</c:v>
                </c:pt>
                <c:pt idx="45">
                  <c:v>34.439062499999999</c:v>
                </c:pt>
                <c:pt idx="46">
                  <c:v>34.797802734374997</c:v>
                </c:pt>
                <c:pt idx="47">
                  <c:v>35.156542968750003</c:v>
                </c:pt>
                <c:pt idx="48">
                  <c:v>35.335913085937499</c:v>
                </c:pt>
                <c:pt idx="49">
                  <c:v>35.515283203125001</c:v>
                </c:pt>
                <c:pt idx="50">
                  <c:v>35.8740234375</c:v>
                </c:pt>
                <c:pt idx="51">
                  <c:v>36.232763671874999</c:v>
                </c:pt>
                <c:pt idx="52">
                  <c:v>36.412133789062494</c:v>
                </c:pt>
                <c:pt idx="53">
                  <c:v>36.591503906249997</c:v>
                </c:pt>
                <c:pt idx="54">
                  <c:v>36.950244140625003</c:v>
                </c:pt>
                <c:pt idx="55">
                  <c:v>37.308984375000001</c:v>
                </c:pt>
                <c:pt idx="56">
                  <c:v>37.667724609375</c:v>
                </c:pt>
                <c:pt idx="57">
                  <c:v>38.5645751953125</c:v>
                </c:pt>
                <c:pt idx="58">
                  <c:v>39.46142578125</c:v>
                </c:pt>
                <c:pt idx="59">
                  <c:v>40.3582763671875</c:v>
                </c:pt>
                <c:pt idx="60">
                  <c:v>41.255126953125</c:v>
                </c:pt>
                <c:pt idx="61">
                  <c:v>42.1519775390625</c:v>
                </c:pt>
                <c:pt idx="62">
                  <c:v>43.048828125</c:v>
                </c:pt>
                <c:pt idx="63">
                  <c:v>43.9456787109375</c:v>
                </c:pt>
                <c:pt idx="64">
                  <c:v>44.842529296875</c:v>
                </c:pt>
                <c:pt idx="65">
                  <c:v>45.7393798828125</c:v>
                </c:pt>
                <c:pt idx="66">
                  <c:v>46.63623046875</c:v>
                </c:pt>
                <c:pt idx="67">
                  <c:v>47.5330810546875</c:v>
                </c:pt>
                <c:pt idx="68">
                  <c:v>48.429931640625</c:v>
                </c:pt>
              </c:numCache>
            </c:numRef>
          </c:xVal>
          <c:yVal>
            <c:numRef>
              <c:f>T_Diprotic_Ac_B_simulation_pH!$J$72:$J$140</c:f>
              <c:numCache>
                <c:formatCode>0.00E+00</c:formatCode>
                <c:ptCount val="69"/>
                <c:pt idx="0">
                  <c:v>8.9477741452633989E-3</c:v>
                </c:pt>
                <c:pt idx="1">
                  <c:v>8.8409622653134456E-3</c:v>
                </c:pt>
                <c:pt idx="2">
                  <c:v>8.8796131381952484E-3</c:v>
                </c:pt>
                <c:pt idx="3">
                  <c:v>9.0522887581218972E-3</c:v>
                </c:pt>
                <c:pt idx="4">
                  <c:v>9.3434412054668112E-3</c:v>
                </c:pt>
                <c:pt idx="5">
                  <c:v>9.7354956846382665E-3</c:v>
                </c:pt>
                <c:pt idx="6">
                  <c:v>1.0210776839069055E-2</c:v>
                </c:pt>
                <c:pt idx="7">
                  <c:v>1.0752873770842721E-2</c:v>
                </c:pt>
                <c:pt idx="8">
                  <c:v>1.1347371050709043E-2</c:v>
                </c:pt>
                <c:pt idx="9">
                  <c:v>1.1982077824677763E-2</c:v>
                </c:pt>
                <c:pt idx="10">
                  <c:v>1.2646943012613614E-2</c:v>
                </c:pt>
                <c:pt idx="11">
                  <c:v>1.3333814880876883E-2</c:v>
                </c:pt>
                <c:pt idx="12">
                  <c:v>1.4036149318015848E-2</c:v>
                </c:pt>
                <c:pt idx="13">
                  <c:v>1.4748724286787718E-2</c:v>
                </c:pt>
                <c:pt idx="14">
                  <c:v>1.5467386479727726E-2</c:v>
                </c:pt>
                <c:pt idx="15">
                  <c:v>1.6188838192293838E-2</c:v>
                </c:pt>
                <c:pt idx="16">
                  <c:v>1.6910463432157883E-2</c:v>
                </c:pt>
                <c:pt idx="17">
                  <c:v>1.7630188528737722E-2</c:v>
                </c:pt>
                <c:pt idx="18">
                  <c:v>1.8346371483636711E-2</c:v>
                </c:pt>
                <c:pt idx="19">
                  <c:v>1.8631552275543053E-2</c:v>
                </c:pt>
                <c:pt idx="20">
                  <c:v>1.8915885692131772E-2</c:v>
                </c:pt>
                <c:pt idx="21">
                  <c:v>1.9199308205938948E-2</c:v>
                </c:pt>
                <c:pt idx="22">
                  <c:v>1.9481762153029922E-2</c:v>
                </c:pt>
                <c:pt idx="23">
                  <c:v>1.9745804050497438E-2</c:v>
                </c:pt>
                <c:pt idx="24">
                  <c:v>1.9293745720198294E-2</c:v>
                </c:pt>
                <c:pt idx="25">
                  <c:v>1.8827652511306539E-2</c:v>
                </c:pt>
                <c:pt idx="26">
                  <c:v>1.8365083427036102E-2</c:v>
                </c:pt>
                <c:pt idx="27">
                  <c:v>1.790602290216237E-2</c:v>
                </c:pt>
                <c:pt idx="28">
                  <c:v>1.7450435982778501E-2</c:v>
                </c:pt>
                <c:pt idx="29">
                  <c:v>1.6326417665912238E-2</c:v>
                </c:pt>
                <c:pt idx="30">
                  <c:v>1.5223283631762802E-2</c:v>
                </c:pt>
                <c:pt idx="31">
                  <c:v>1.4140459012522137E-2</c:v>
                </c:pt>
                <c:pt idx="32">
                  <c:v>1.3077388655475548E-2</c:v>
                </c:pt>
                <c:pt idx="33">
                  <c:v>1.2033537124168572E-2</c:v>
                </c:pt>
                <c:pt idx="34">
                  <c:v>1.1008388036322866E-2</c:v>
                </c:pt>
                <c:pt idx="35">
                  <c:v>1.0001443290960772E-2</c:v>
                </c:pt>
                <c:pt idx="36">
                  <c:v>9.0122222929089474E-3</c:v>
                </c:pt>
                <c:pt idx="37">
                  <c:v>8.6569969276472144E-3</c:v>
                </c:pt>
                <c:pt idx="38">
                  <c:v>7.7268847289299353E-3</c:v>
                </c:pt>
                <c:pt idx="39">
                  <c:v>6.8118195936612705E-3</c:v>
                </c:pt>
                <c:pt idx="40">
                  <c:v>5.9115295234751534E-3</c:v>
                </c:pt>
                <c:pt idx="41">
                  <c:v>5.0257316564765253E-3</c:v>
                </c:pt>
                <c:pt idx="42">
                  <c:v>4.1541373454947314E-3</c:v>
                </c:pt>
                <c:pt idx="43">
                  <c:v>3.2964557023863203E-3</c:v>
                </c:pt>
                <c:pt idx="44">
                  <c:v>2.4523961046687675E-3</c:v>
                </c:pt>
                <c:pt idx="45">
                  <c:v>2.1185216981218515E-3</c:v>
                </c:pt>
                <c:pt idx="46">
                  <c:v>1.7867622771210109E-3</c:v>
                </c:pt>
                <c:pt idx="47">
                  <c:v>1.4570996056236384E-3</c:v>
                </c:pt>
                <c:pt idx="48">
                  <c:v>1.2930488808541233E-3</c:v>
                </c:pt>
                <c:pt idx="49">
                  <c:v>1.1295155532707471E-3</c:v>
                </c:pt>
                <c:pt idx="50">
                  <c:v>8.0399210314104986E-4</c:v>
                </c:pt>
                <c:pt idx="51">
                  <c:v>4.7254760479520017E-4</c:v>
                </c:pt>
                <c:pt idx="52">
                  <c:v>3.0352349272544377E-4</c:v>
                </c:pt>
                <c:pt idx="53">
                  <c:v>2.2054163416377489E-4</c:v>
                </c:pt>
                <c:pt idx="54">
                  <c:v>1.4259481363979341E-4</c:v>
                </c:pt>
                <c:pt idx="55">
                  <c:v>1.0435934947878915E-4</c:v>
                </c:pt>
                <c:pt idx="56">
                  <c:v>8.1783851499116184E-5</c:v>
                </c:pt>
                <c:pt idx="57">
                  <c:v>5.3053564570169527E-5</c:v>
                </c:pt>
                <c:pt idx="58">
                  <c:v>3.8877859806059196E-5</c:v>
                </c:pt>
                <c:pt idx="59">
                  <c:v>3.0461241984487168E-5</c:v>
                </c:pt>
                <c:pt idx="60">
                  <c:v>2.4901110204175207E-5</c:v>
                </c:pt>
                <c:pt idx="61">
                  <c:v>2.0962658623033455E-5</c:v>
                </c:pt>
                <c:pt idx="62">
                  <c:v>1.8032095885494781E-5</c:v>
                </c:pt>
                <c:pt idx="63">
                  <c:v>1.5770092047429195E-5</c:v>
                </c:pt>
                <c:pt idx="64">
                  <c:v>1.3973910507756788E-5</c:v>
                </c:pt>
                <c:pt idx="65">
                  <c:v>1.2515023630668348E-5</c:v>
                </c:pt>
                <c:pt idx="66">
                  <c:v>1.1308041044311424E-5</c:v>
                </c:pt>
                <c:pt idx="67">
                  <c:v>1.0294035266317214E-5</c:v>
                </c:pt>
                <c:pt idx="68">
                  <c:v>9.431042163571049E-6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45-4653-9203-A137368614BB}"/>
            </c:ext>
          </c:extLst>
        </c:ser>
        <c:ser>
          <c:idx val="2"/>
          <c:order val="2"/>
          <c:tx>
            <c:v>A-</c:v>
          </c:tx>
          <c:xVal>
            <c:numRef>
              <c:f>T_Diprotic_Ac_B_simulation_pH!$D$72:$D$140</c:f>
              <c:numCache>
                <c:formatCode>0.00</c:formatCode>
                <c:ptCount val="69"/>
                <c:pt idx="0">
                  <c:v>0</c:v>
                </c:pt>
                <c:pt idx="1">
                  <c:v>0.8968505859375</c:v>
                </c:pt>
                <c:pt idx="2">
                  <c:v>1.793701171875</c:v>
                </c:pt>
                <c:pt idx="3">
                  <c:v>2.6905517578125</c:v>
                </c:pt>
                <c:pt idx="4">
                  <c:v>3.58740234375</c:v>
                </c:pt>
                <c:pt idx="5">
                  <c:v>4.4842529296875</c:v>
                </c:pt>
                <c:pt idx="6">
                  <c:v>5.381103515625</c:v>
                </c:pt>
                <c:pt idx="7">
                  <c:v>6.2779541015625</c:v>
                </c:pt>
                <c:pt idx="8">
                  <c:v>7.1748046875</c:v>
                </c:pt>
                <c:pt idx="9">
                  <c:v>8.0716552734375</c:v>
                </c:pt>
                <c:pt idx="10">
                  <c:v>8.968505859375</c:v>
                </c:pt>
                <c:pt idx="11">
                  <c:v>9.8653564453125</c:v>
                </c:pt>
                <c:pt idx="12">
                  <c:v>10.76220703125</c:v>
                </c:pt>
                <c:pt idx="13">
                  <c:v>11.6590576171875</c:v>
                </c:pt>
                <c:pt idx="14">
                  <c:v>12.555908203125</c:v>
                </c:pt>
                <c:pt idx="15">
                  <c:v>13.4527587890625</c:v>
                </c:pt>
                <c:pt idx="16">
                  <c:v>14.349609375</c:v>
                </c:pt>
                <c:pt idx="17">
                  <c:v>15.2464599609375</c:v>
                </c:pt>
                <c:pt idx="18">
                  <c:v>16.143310546875</c:v>
                </c:pt>
                <c:pt idx="19">
                  <c:v>16.502050781250002</c:v>
                </c:pt>
                <c:pt idx="20">
                  <c:v>16.860791015625001</c:v>
                </c:pt>
                <c:pt idx="21">
                  <c:v>17.219531249999999</c:v>
                </c:pt>
                <c:pt idx="22">
                  <c:v>17.578271484375001</c:v>
                </c:pt>
                <c:pt idx="23">
                  <c:v>17.93701171875</c:v>
                </c:pt>
                <c:pt idx="24">
                  <c:v>18.295751953124999</c:v>
                </c:pt>
                <c:pt idx="25">
                  <c:v>18.654492187500001</c:v>
                </c:pt>
                <c:pt idx="26">
                  <c:v>19.013232421874999</c:v>
                </c:pt>
                <c:pt idx="27">
                  <c:v>19.371972656250001</c:v>
                </c:pt>
                <c:pt idx="28">
                  <c:v>19.730712890625</c:v>
                </c:pt>
                <c:pt idx="29">
                  <c:v>20.6275634765625</c:v>
                </c:pt>
                <c:pt idx="30">
                  <c:v>21.5244140625</c:v>
                </c:pt>
                <c:pt idx="31">
                  <c:v>22.4212646484375</c:v>
                </c:pt>
                <c:pt idx="32">
                  <c:v>23.318115234375</c:v>
                </c:pt>
                <c:pt idx="33">
                  <c:v>24.2149658203125</c:v>
                </c:pt>
                <c:pt idx="34">
                  <c:v>25.11181640625</c:v>
                </c:pt>
                <c:pt idx="35">
                  <c:v>26.0086669921875</c:v>
                </c:pt>
                <c:pt idx="36">
                  <c:v>26.905517578125</c:v>
                </c:pt>
                <c:pt idx="37">
                  <c:v>27.8023681640625</c:v>
                </c:pt>
                <c:pt idx="38">
                  <c:v>28.69921875</c:v>
                </c:pt>
                <c:pt idx="39">
                  <c:v>29.5960693359375</c:v>
                </c:pt>
                <c:pt idx="40">
                  <c:v>30.492919921875</c:v>
                </c:pt>
                <c:pt idx="41">
                  <c:v>31.3897705078125</c:v>
                </c:pt>
                <c:pt idx="42">
                  <c:v>32.28662109375</c:v>
                </c:pt>
                <c:pt idx="43">
                  <c:v>33.1834716796875</c:v>
                </c:pt>
                <c:pt idx="44">
                  <c:v>34.080322265625</c:v>
                </c:pt>
                <c:pt idx="45">
                  <c:v>34.439062499999999</c:v>
                </c:pt>
                <c:pt idx="46">
                  <c:v>34.797802734374997</c:v>
                </c:pt>
                <c:pt idx="47">
                  <c:v>35.156542968750003</c:v>
                </c:pt>
                <c:pt idx="48">
                  <c:v>35.335913085937499</c:v>
                </c:pt>
                <c:pt idx="49">
                  <c:v>35.515283203125001</c:v>
                </c:pt>
                <c:pt idx="50">
                  <c:v>35.8740234375</c:v>
                </c:pt>
                <c:pt idx="51">
                  <c:v>36.232763671874999</c:v>
                </c:pt>
                <c:pt idx="52">
                  <c:v>36.412133789062494</c:v>
                </c:pt>
                <c:pt idx="53">
                  <c:v>36.591503906249997</c:v>
                </c:pt>
                <c:pt idx="54">
                  <c:v>36.950244140625003</c:v>
                </c:pt>
                <c:pt idx="55">
                  <c:v>37.308984375000001</c:v>
                </c:pt>
                <c:pt idx="56">
                  <c:v>37.667724609375</c:v>
                </c:pt>
                <c:pt idx="57">
                  <c:v>38.5645751953125</c:v>
                </c:pt>
                <c:pt idx="58">
                  <c:v>39.46142578125</c:v>
                </c:pt>
                <c:pt idx="59">
                  <c:v>40.3582763671875</c:v>
                </c:pt>
                <c:pt idx="60">
                  <c:v>41.255126953125</c:v>
                </c:pt>
                <c:pt idx="61">
                  <c:v>42.1519775390625</c:v>
                </c:pt>
                <c:pt idx="62">
                  <c:v>43.048828125</c:v>
                </c:pt>
                <c:pt idx="63">
                  <c:v>43.9456787109375</c:v>
                </c:pt>
                <c:pt idx="64">
                  <c:v>44.842529296875</c:v>
                </c:pt>
                <c:pt idx="65">
                  <c:v>45.7393798828125</c:v>
                </c:pt>
                <c:pt idx="66">
                  <c:v>46.63623046875</c:v>
                </c:pt>
                <c:pt idx="67">
                  <c:v>47.5330810546875</c:v>
                </c:pt>
                <c:pt idx="68">
                  <c:v>48.429931640625</c:v>
                </c:pt>
              </c:numCache>
            </c:numRef>
          </c:xVal>
          <c:yVal>
            <c:numRef>
              <c:f>T_Diprotic_Ac_B_simulation_pH!$L$72:$L$140</c:f>
              <c:numCache>
                <c:formatCode>0.00E+00</c:formatCode>
                <c:ptCount val="69"/>
                <c:pt idx="0">
                  <c:v>5.1512996209770353E-9</c:v>
                </c:pt>
                <c:pt idx="1">
                  <c:v>5.0888288960240225E-9</c:v>
                </c:pt>
                <c:pt idx="2">
                  <c:v>5.2430921829029582E-9</c:v>
                </c:pt>
                <c:pt idx="3">
                  <c:v>5.6166057799456595E-9</c:v>
                </c:pt>
                <c:pt idx="4">
                  <c:v>6.2229827387609638E-9</c:v>
                </c:pt>
                <c:pt idx="5">
                  <c:v>7.0874824701184751E-9</c:v>
                </c:pt>
                <c:pt idx="6">
                  <c:v>8.2485825634086788E-9</c:v>
                </c:pt>
                <c:pt idx="7">
                  <c:v>9.7610269407444809E-9</c:v>
                </c:pt>
                <c:pt idx="8">
                  <c:v>1.1701062704445355E-8</c:v>
                </c:pt>
                <c:pt idx="9">
                  <c:v>1.4175078999795597E-8</c:v>
                </c:pt>
                <c:pt idx="10">
                  <c:v>1.7333851940840437E-8</c:v>
                </c:pt>
                <c:pt idx="11">
                  <c:v>2.1396602050147909E-8</c:v>
                </c:pt>
                <c:pt idx="12">
                  <c:v>2.6693326879526426E-8</c:v>
                </c:pt>
                <c:pt idx="13">
                  <c:v>3.3743589001486138E-8</c:v>
                </c:pt>
                <c:pt idx="14">
                  <c:v>4.3414217625606485E-8</c:v>
                </c:pt>
                <c:pt idx="15">
                  <c:v>5.7266343487670019E-8</c:v>
                </c:pt>
                <c:pt idx="16">
                  <c:v>7.8423039227464288E-8</c:v>
                </c:pt>
                <c:pt idx="17">
                  <c:v>1.1417218837702412E-7</c:v>
                </c:pt>
                <c:pt idx="18">
                  <c:v>1.8637720060457436E-7</c:v>
                </c:pt>
                <c:pt idx="19">
                  <c:v>2.4077012696726031E-7</c:v>
                </c:pt>
                <c:pt idx="20">
                  <c:v>3.3159995351505937E-7</c:v>
                </c:pt>
                <c:pt idx="21">
                  <c:v>5.1350416958878438E-7</c:v>
                </c:pt>
                <c:pt idx="22">
                  <c:v>1.0595539295780911E-6</c:v>
                </c:pt>
                <c:pt idx="23">
                  <c:v>8.7907795428323804E-6</c:v>
                </c:pt>
                <c:pt idx="24">
                  <c:v>3.9364584424127674E-4</c:v>
                </c:pt>
                <c:pt idx="25">
                  <c:v>7.843271930172449E-4</c:v>
                </c:pt>
                <c:pt idx="26">
                  <c:v>1.1720599376103512E-3</c:v>
                </c:pt>
                <c:pt idx="27">
                  <c:v>1.5568530799935161E-3</c:v>
                </c:pt>
                <c:pt idx="28">
                  <c:v>1.9387351102406213E-3</c:v>
                </c:pt>
                <c:pt idx="29">
                  <c:v>2.8809105690079332E-3</c:v>
                </c:pt>
                <c:pt idx="30">
                  <c:v>3.805580908256018E-3</c:v>
                </c:pt>
                <c:pt idx="31">
                  <c:v>4.7132276710602321E-3</c:v>
                </c:pt>
                <c:pt idx="32">
                  <c:v>5.6043160906078717E-3</c:v>
                </c:pt>
                <c:pt idx="33">
                  <c:v>6.4792949351250304E-3</c:v>
                </c:pt>
                <c:pt idx="34">
                  <c:v>7.3385970243270921E-3</c:v>
                </c:pt>
                <c:pt idx="35">
                  <c:v>8.1826398644189863E-3</c:v>
                </c:pt>
                <c:pt idx="36">
                  <c:v>9.0118262929968287E-3</c:v>
                </c:pt>
                <c:pt idx="37">
                  <c:v>9.2098093804402325E-3</c:v>
                </c:pt>
                <c:pt idx="38">
                  <c:v>9.9853991449541206E-3</c:v>
                </c:pt>
                <c:pt idx="39">
                  <c:v>1.0748591726393208E-2</c:v>
                </c:pt>
                <c:pt idx="40">
                  <c:v>1.1499591539059129E-2</c:v>
                </c:pt>
                <c:pt idx="41">
                  <c:v>1.2238616139678577E-2</c:v>
                </c:pt>
                <c:pt idx="42">
                  <c:v>1.296589105389905E-2</c:v>
                </c:pt>
                <c:pt idx="43">
                  <c:v>1.3681646141472955E-2</c:v>
                </c:pt>
                <c:pt idx="44">
                  <c:v>1.4386113003575989E-2</c:v>
                </c:pt>
                <c:pt idx="45">
                  <c:v>1.4664790933051321E-2</c:v>
                </c:pt>
                <c:pt idx="46">
                  <c:v>1.494171456174162E-2</c:v>
                </c:pt>
                <c:pt idx="47">
                  <c:v>1.5216898601827939E-2</c:v>
                </c:pt>
                <c:pt idx="48">
                  <c:v>1.5353842857553911E-2</c:v>
                </c:pt>
                <c:pt idx="49">
                  <c:v>1.5490357705562501E-2</c:v>
                </c:pt>
                <c:pt idx="50">
                  <c:v>1.5762106456774394E-2</c:v>
                </c:pt>
                <c:pt idx="51">
                  <c:v>1.5086058615938109E-2</c:v>
                </c:pt>
                <c:pt idx="52">
                  <c:v>1.4591623896983805E-2</c:v>
                </c:pt>
                <c:pt idx="53">
                  <c:v>1.417480316116838E-2</c:v>
                </c:pt>
                <c:pt idx="54">
                  <c:v>1.3786467885169358E-2</c:v>
                </c:pt>
                <c:pt idx="55">
                  <c:v>1.346089832615713E-2</c:v>
                </c:pt>
                <c:pt idx="56">
                  <c:v>1.3177473778800358E-2</c:v>
                </c:pt>
                <c:pt idx="57">
                  <c:v>1.2767546935982005E-2</c:v>
                </c:pt>
                <c:pt idx="58">
                  <c:v>1.240077257449744E-2</c:v>
                </c:pt>
                <c:pt idx="59">
                  <c:v>1.2064885835410233E-2</c:v>
                </c:pt>
                <c:pt idx="60">
                  <c:v>1.175316564766505E-2</c:v>
                </c:pt>
                <c:pt idx="61">
                  <c:v>1.1461407326281843E-2</c:v>
                </c:pt>
                <c:pt idx="62">
                  <c:v>1.1186725060281281E-2</c:v>
                </c:pt>
                <c:pt idx="63">
                  <c:v>1.0927000638437283E-2</c:v>
                </c:pt>
                <c:pt idx="64">
                  <c:v>1.0680599807786659E-2</c:v>
                </c:pt>
                <c:pt idx="65">
                  <c:v>1.044621330939528E-2</c:v>
                </c:pt>
                <c:pt idx="66">
                  <c:v>1.0222761508271647E-2</c:v>
                </c:pt>
                <c:pt idx="67">
                  <c:v>1.0009333892921629E-2</c:v>
                </c:pt>
                <c:pt idx="68">
                  <c:v>9.8051488614293945E-3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45-4653-9203-A13736861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81424"/>
        <c:axId val="2144082672"/>
      </c:scatterChart>
      <c:valAx>
        <c:axId val="214408142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2000"/>
                </a:pPr>
                <a:r>
                  <a:rPr lang="pt-PT" sz="2000"/>
                  <a:t>V/cm</a:t>
                </a:r>
                <a:r>
                  <a:rPr lang="pt-PT" sz="20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48250141661506452"/>
              <c:y val="0.9264171461320812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2672"/>
        <c:crosses val="autoZero"/>
        <c:crossBetween val="midCat"/>
        <c:minorUnit val="5"/>
      </c:valAx>
      <c:valAx>
        <c:axId val="214408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Concentration</a:t>
                </a:r>
                <a:r>
                  <a:rPr lang="pt-PT" baseline="0"/>
                  <a:t> / mol/dm-3</a:t>
                </a:r>
                <a:endParaRPr lang="pt-PT"/>
              </a:p>
            </c:rich>
          </c:tx>
          <c:layout/>
          <c:overlay val="0"/>
        </c:title>
        <c:numFmt formatCode="0.0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1424"/>
        <c:crosses val="autoZero"/>
        <c:crossBetween val="midCat"/>
      </c:valAx>
      <c:spPr>
        <a:ln w="158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3.8666840413729103E-3"/>
          <c:y val="0.14259422781986339"/>
          <c:w val="0.93063217230892681"/>
          <c:h val="0.15886945373066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ln w="19050">
      <a:solidFill>
        <a:schemeClr val="tx1"/>
      </a:solidFill>
    </a:ln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sz="2400" b="1"/>
              <a:t>Speciation Plot </a:t>
            </a:r>
            <a:r>
              <a:rPr lang="pt-PT" sz="2400" baseline="0"/>
              <a:t>= f (pH)</a:t>
            </a:r>
            <a:endParaRPr lang="pt-PT" sz="2400"/>
          </a:p>
        </c:rich>
      </c:tx>
      <c:layout>
        <c:manualLayout>
          <c:xMode val="edge"/>
          <c:yMode val="edge"/>
          <c:x val="0.12236662280990906"/>
          <c:y val="0.1071989916142081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840953259589807"/>
          <c:y val="0.16879264771079719"/>
          <c:w val="0.81277180962030993"/>
          <c:h val="0.73023487661390407"/>
        </c:manualLayout>
      </c:layout>
      <c:scatterChart>
        <c:scatterStyle val="lineMarker"/>
        <c:varyColors val="0"/>
        <c:ser>
          <c:idx val="1"/>
          <c:order val="0"/>
          <c:tx>
            <c:v>H2A+</c:v>
          </c:tx>
          <c:xVal>
            <c:numRef>
              <c:f>T_Diprotic_Ac_B_simulation_pH!$O$72:$O$140</c:f>
              <c:numCache>
                <c:formatCode>0.00</c:formatCode>
                <c:ptCount val="69"/>
                <c:pt idx="0">
                  <c:v>2.7602017976424706</c:v>
                </c:pt>
                <c:pt idx="1">
                  <c:v>2.7601183117076697</c:v>
                </c:pt>
                <c:pt idx="2">
                  <c:v>2.7711934483495413</c:v>
                </c:pt>
                <c:pt idx="3">
                  <c:v>2.792715543527982</c:v>
                </c:pt>
                <c:pt idx="4">
                  <c:v>2.8234917392478329</c:v>
                </c:pt>
                <c:pt idx="5">
                  <c:v>2.8621339291303536</c:v>
                </c:pt>
                <c:pt idx="6">
                  <c:v>2.9073205411861851</c:v>
                </c:pt>
                <c:pt idx="7">
                  <c:v>2.9579709638378469</c:v>
                </c:pt>
                <c:pt idx="8">
                  <c:v>3.0133300504733724</c:v>
                </c:pt>
                <c:pt idx="9">
                  <c:v>3.0729933519131785</c:v>
                </c:pt>
                <c:pt idx="10">
                  <c:v>3.1369095210428686</c:v>
                </c:pt>
                <c:pt idx="11">
                  <c:v>3.2053903880888752</c:v>
                </c:pt>
                <c:pt idx="12">
                  <c:v>3.2791547251118147</c:v>
                </c:pt>
                <c:pt idx="13">
                  <c:v>3.359436815719552</c:v>
                </c:pt>
                <c:pt idx="14">
                  <c:v>3.4482150416678681</c:v>
                </c:pt>
                <c:pt idx="15">
                  <c:v>3.5486837715628288</c:v>
                </c:pt>
                <c:pt idx="16">
                  <c:v>3.6662881594305721</c:v>
                </c:pt>
                <c:pt idx="17">
                  <c:v>3.8113033689438178</c:v>
                </c:pt>
                <c:pt idx="18">
                  <c:v>4.0068426013157987</c:v>
                </c:pt>
                <c:pt idx="19">
                  <c:v>4.1113535624166095</c:v>
                </c:pt>
                <c:pt idx="20">
                  <c:v>4.2437877800683932</c:v>
                </c:pt>
                <c:pt idx="21">
                  <c:v>4.4272583939808507</c:v>
                </c:pt>
                <c:pt idx="22">
                  <c:v>4.7354948296233674</c:v>
                </c:pt>
                <c:pt idx="23">
                  <c:v>6</c:v>
                </c:pt>
                <c:pt idx="24">
                  <c:v>7.3096891204222043</c:v>
                </c:pt>
                <c:pt idx="25">
                  <c:v>7.6197010982368614</c:v>
                </c:pt>
                <c:pt idx="26">
                  <c:v>7.8049569159463807</c:v>
                </c:pt>
                <c:pt idx="27">
                  <c:v>7.9392484945639854</c:v>
                </c:pt>
                <c:pt idx="28">
                  <c:v>8.0457121935204245</c:v>
                </c:pt>
                <c:pt idx="29">
                  <c:v>8.2466388743341685</c:v>
                </c:pt>
                <c:pt idx="30">
                  <c:v>8.3979126206714376</c:v>
                </c:pt>
                <c:pt idx="31">
                  <c:v>8.5228549114373724</c:v>
                </c:pt>
                <c:pt idx="32">
                  <c:v>8.6320015910585379</c:v>
                </c:pt>
                <c:pt idx="33">
                  <c:v>8.7311344471911276</c:v>
                </c:pt>
                <c:pt idx="34">
                  <c:v>8.8238893107840184</c:v>
                </c:pt>
                <c:pt idx="35">
                  <c:v>8.9128307605553427</c:v>
                </c:pt>
                <c:pt idx="36">
                  <c:v>8.9999809165431532</c:v>
                </c:pt>
                <c:pt idx="37">
                  <c:v>9.0268833781150093</c:v>
                </c:pt>
                <c:pt idx="38">
                  <c:v>9.1113609961364936</c:v>
                </c:pt>
                <c:pt idx="39">
                  <c:v>9.1980884295405012</c:v>
                </c:pt>
                <c:pt idx="40">
                  <c:v>9.2889825517708218</c:v>
                </c:pt>
                <c:pt idx="41">
                  <c:v>9.3865330172994241</c:v>
                </c:pt>
                <c:pt idx="42">
                  <c:v>9.4943215168885029</c:v>
                </c:pt>
                <c:pt idx="43">
                  <c:v>9.6180911096640802</c:v>
                </c:pt>
                <c:pt idx="44">
                  <c:v>9.7683528497491121</c:v>
                </c:pt>
                <c:pt idx="45">
                  <c:v>9.8402429594405803</c:v>
                </c:pt>
                <c:pt idx="46">
                  <c:v>9.9223336607423018</c:v>
                </c:pt>
                <c:pt idx="47">
                  <c:v>10.018836906047326</c:v>
                </c:pt>
                <c:pt idx="48">
                  <c:v>10.074602148673112</c:v>
                </c:pt>
                <c:pt idx="49">
                  <c:v>10.137169231193825</c:v>
                </c:pt>
                <c:pt idx="50">
                  <c:v>10.292362473288184</c:v>
                </c:pt>
                <c:pt idx="51">
                  <c:v>10.518847316411835</c:v>
                </c:pt>
                <c:pt idx="52">
                  <c:v>10.694238811225398</c:v>
                </c:pt>
                <c:pt idx="53">
                  <c:v>10.818478909284867</c:v>
                </c:pt>
                <c:pt idx="54">
                  <c:v>10.993176253876383</c:v>
                </c:pt>
                <c:pt idx="55">
                  <c:v>11.116725535627905</c:v>
                </c:pt>
                <c:pt idx="56">
                  <c:v>11.212250524941943</c:v>
                </c:pt>
                <c:pt idx="57">
                  <c:v>11.384898426870333</c:v>
                </c:pt>
                <c:pt idx="58">
                  <c:v>11.506420892813576</c:v>
                </c:pt>
                <c:pt idx="59">
                  <c:v>11.599941298802451</c:v>
                </c:pt>
                <c:pt idx="60">
                  <c:v>11.675759188483953</c:v>
                </c:pt>
                <c:pt idx="61">
                  <c:v>11.739368468930261</c:v>
                </c:pt>
                <c:pt idx="62">
                  <c:v>11.794048359665311</c:v>
                </c:pt>
                <c:pt idx="63">
                  <c:v>11.84191389352322</c:v>
                </c:pt>
                <c:pt idx="64">
                  <c:v>11.884409086541734</c:v>
                </c:pt>
                <c:pt idx="65">
                  <c:v>11.922563797022972</c:v>
                </c:pt>
                <c:pt idx="66">
                  <c:v>11.957138346092776</c:v>
                </c:pt>
                <c:pt idx="67">
                  <c:v>11.988710051316136</c:v>
                </c:pt>
                <c:pt idx="68">
                  <c:v>12.017727600064486</c:v>
                </c:pt>
              </c:numCache>
            </c:numRef>
          </c:xVal>
          <c:yVal>
            <c:numRef>
              <c:f>T_Diprotic_Ac_B_simulation_pH!$H$72:$H$140</c:f>
              <c:numCache>
                <c:formatCode>0.00E+00</c:formatCode>
                <c:ptCount val="69"/>
                <c:pt idx="0">
                  <c:v>1.5542225854736602E-2</c:v>
                </c:pt>
                <c:pt idx="1">
                  <c:v>1.5359646664042067E-2</c:v>
                </c:pt>
                <c:pt idx="2">
                  <c:v>1.5038364143419263E-2</c:v>
                </c:pt>
                <c:pt idx="3">
                  <c:v>1.4589582208707709E-2</c:v>
                </c:pt>
                <c:pt idx="4">
                  <c:v>1.4028625375457345E-2</c:v>
                </c:pt>
                <c:pt idx="5">
                  <c:v>1.3372855118190643E-2</c:v>
                </c:pt>
                <c:pt idx="6">
                  <c:v>1.2639742992908133E-2</c:v>
                </c:pt>
                <c:pt idx="7">
                  <c:v>1.1845505092198691E-2</c:v>
                </c:pt>
                <c:pt idx="8">
                  <c:v>1.1004370544356736E-2</c:v>
                </c:pt>
                <c:pt idx="9">
                  <c:v>1.0128351947717882E-2</c:v>
                </c:pt>
                <c:pt idx="10">
                  <c:v>9.2273297424127713E-3</c:v>
                </c:pt>
                <c:pt idx="11">
                  <c:v>8.309292235318495E-3</c:v>
                </c:pt>
                <c:pt idx="12">
                  <c:v>7.3806269472069651E-3</c:v>
                </c:pt>
                <c:pt idx="13">
                  <c:v>6.4464058069845995E-3</c:v>
                </c:pt>
                <c:pt idx="14">
                  <c:v>5.5106381641242793E-3</c:v>
                </c:pt>
                <c:pt idx="15">
                  <c:v>4.5764836037191651E-3</c:v>
                </c:pt>
                <c:pt idx="16">
                  <c:v>3.6464255441684343E-3</c:v>
                </c:pt>
                <c:pt idx="17">
                  <c:v>2.7224103520939857E-3</c:v>
                </c:pt>
                <c:pt idx="18">
                  <c:v>1.8059577326183813E-3</c:v>
                </c:pt>
                <c:pt idx="19">
                  <c:v>1.4417683147357253E-3</c:v>
                </c:pt>
                <c:pt idx="20">
                  <c:v>1.0790433705580899E-3</c:v>
                </c:pt>
                <c:pt idx="21">
                  <c:v>7.1783922588558786E-4</c:v>
                </c:pt>
                <c:pt idx="22">
                  <c:v>3.582064546146882E-4</c:v>
                </c:pt>
                <c:pt idx="23">
                  <c:v>8.7907795428323804E-6</c:v>
                </c:pt>
                <c:pt idx="24">
                  <c:v>9.4564347461396859E-7</c:v>
                </c:pt>
                <c:pt idx="25">
                  <c:v>4.5195487577429121E-7</c:v>
                </c:pt>
                <c:pt idx="26">
                  <c:v>2.8776368721351425E-7</c:v>
                </c:pt>
                <c:pt idx="27">
                  <c:v>2.0594471006480497E-7</c:v>
                </c:pt>
                <c:pt idx="28">
                  <c:v>1.5707030546904175E-7</c:v>
                </c:pt>
                <c:pt idx="29">
                  <c:v>9.2523494713548396E-8</c:v>
                </c:pt>
                <c:pt idx="30">
                  <c:v>6.0896974764176149E-8</c:v>
                </c:pt>
                <c:pt idx="31">
                  <c:v>4.2423705163353499E-8</c:v>
                </c:pt>
                <c:pt idx="32">
                  <c:v>3.0515426196778111E-8</c:v>
                </c:pt>
                <c:pt idx="33">
                  <c:v>2.2349039080430271E-8</c:v>
                </c:pt>
                <c:pt idx="34">
                  <c:v>1.6513320837284746E-8</c:v>
                </c:pt>
                <c:pt idx="35">
                  <c:v>1.2224522838560346E-8</c:v>
                </c:pt>
                <c:pt idx="36">
                  <c:v>9.0126183102221923E-9</c:v>
                </c:pt>
                <c:pt idx="37">
                  <c:v>8.1373666608625281E-9</c:v>
                </c:pt>
                <c:pt idx="38">
                  <c:v>5.9792049118377992E-9</c:v>
                </c:pt>
                <c:pt idx="39">
                  <c:v>4.3169270317198898E-9</c:v>
                </c:pt>
                <c:pt idx="40">
                  <c:v>3.0389063114303968E-9</c:v>
                </c:pt>
                <c:pt idx="41">
                  <c:v>2.063793683423233E-9</c:v>
                </c:pt>
                <c:pt idx="42">
                  <c:v>1.330942625809323E-9</c:v>
                </c:pt>
                <c:pt idx="43">
                  <c:v>7.9424800827551562E-10</c:v>
                </c:pt>
                <c:pt idx="44">
                  <c:v>4.1805918337354706E-10</c:v>
                </c:pt>
                <c:pt idx="45">
                  <c:v>3.0604828980533186E-10</c:v>
                </c:pt>
                <c:pt idx="46">
                  <c:v>2.1366486568530306E-10</c:v>
                </c:pt>
                <c:pt idx="47">
                  <c:v>1.3952509747640161E-10</c:v>
                </c:pt>
                <c:pt idx="48">
                  <c:v>1.0889621730468008E-10</c:v>
                </c:pt>
                <c:pt idx="49">
                  <c:v>8.2361260426051192E-11</c:v>
                </c:pt>
                <c:pt idx="50">
                  <c:v>4.1009956612452076E-11</c:v>
                </c:pt>
                <c:pt idx="51">
                  <c:v>1.4308636463289791E-11</c:v>
                </c:pt>
                <c:pt idx="52">
                  <c:v>6.1369629290233473E-12</c:v>
                </c:pt>
                <c:pt idx="53">
                  <c:v>3.3497444712505268E-12</c:v>
                </c:pt>
                <c:pt idx="54">
                  <c:v>1.4485299396725901E-12</c:v>
                </c:pt>
                <c:pt idx="55">
                  <c:v>7.9763798489168947E-13</c:v>
                </c:pt>
                <c:pt idx="56">
                  <c:v>5.01668733262362E-13</c:v>
                </c:pt>
                <c:pt idx="57">
                  <c:v>2.1868356328690667E-13</c:v>
                </c:pt>
                <c:pt idx="58">
                  <c:v>1.2113829494283605E-13</c:v>
                </c:pt>
                <c:pt idx="59">
                  <c:v>7.6525523263029697E-14</c:v>
                </c:pt>
                <c:pt idx="60">
                  <c:v>5.2536304669663737E-14</c:v>
                </c:pt>
                <c:pt idx="61">
                  <c:v>3.8201278067466207E-14</c:v>
                </c:pt>
                <c:pt idx="62">
                  <c:v>2.8973292335923412E-14</c:v>
                </c:pt>
                <c:pt idx="63">
                  <c:v>2.2694485149378249E-14</c:v>
                </c:pt>
                <c:pt idx="64">
                  <c:v>1.8235130305351865E-14</c:v>
                </c:pt>
                <c:pt idx="65">
                  <c:v>1.4957805336853793E-14</c:v>
                </c:pt>
                <c:pt idx="66">
                  <c:v>1.2480989851784844E-14</c:v>
                </c:pt>
                <c:pt idx="67">
                  <c:v>1.0565148371747414E-14</c:v>
                </c:pt>
                <c:pt idx="68">
                  <c:v>9.053824803511066E-15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F5-41D2-ADBF-C5B24102E35B}"/>
            </c:ext>
          </c:extLst>
        </c:ser>
        <c:ser>
          <c:idx val="0"/>
          <c:order val="1"/>
          <c:tx>
            <c:v>HA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T_Diprotic_Ac_B_simulation_pH!$O$72:$O$140</c:f>
              <c:numCache>
                <c:formatCode>0.00</c:formatCode>
                <c:ptCount val="69"/>
                <c:pt idx="0">
                  <c:v>2.7602017976424706</c:v>
                </c:pt>
                <c:pt idx="1">
                  <c:v>2.7601183117076697</c:v>
                </c:pt>
                <c:pt idx="2">
                  <c:v>2.7711934483495413</c:v>
                </c:pt>
                <c:pt idx="3">
                  <c:v>2.792715543527982</c:v>
                </c:pt>
                <c:pt idx="4">
                  <c:v>2.8234917392478329</c:v>
                </c:pt>
                <c:pt idx="5">
                  <c:v>2.8621339291303536</c:v>
                </c:pt>
                <c:pt idx="6">
                  <c:v>2.9073205411861851</c:v>
                </c:pt>
                <c:pt idx="7">
                  <c:v>2.9579709638378469</c:v>
                </c:pt>
                <c:pt idx="8">
                  <c:v>3.0133300504733724</c:v>
                </c:pt>
                <c:pt idx="9">
                  <c:v>3.0729933519131785</c:v>
                </c:pt>
                <c:pt idx="10">
                  <c:v>3.1369095210428686</c:v>
                </c:pt>
                <c:pt idx="11">
                  <c:v>3.2053903880888752</c:v>
                </c:pt>
                <c:pt idx="12">
                  <c:v>3.2791547251118147</c:v>
                </c:pt>
                <c:pt idx="13">
                  <c:v>3.359436815719552</c:v>
                </c:pt>
                <c:pt idx="14">
                  <c:v>3.4482150416678681</c:v>
                </c:pt>
                <c:pt idx="15">
                  <c:v>3.5486837715628288</c:v>
                </c:pt>
                <c:pt idx="16">
                  <c:v>3.6662881594305721</c:v>
                </c:pt>
                <c:pt idx="17">
                  <c:v>3.8113033689438178</c:v>
                </c:pt>
                <c:pt idx="18">
                  <c:v>4.0068426013157987</c:v>
                </c:pt>
                <c:pt idx="19">
                  <c:v>4.1113535624166095</c:v>
                </c:pt>
                <c:pt idx="20">
                  <c:v>4.2437877800683932</c:v>
                </c:pt>
                <c:pt idx="21">
                  <c:v>4.4272583939808507</c:v>
                </c:pt>
                <c:pt idx="22">
                  <c:v>4.7354948296233674</c:v>
                </c:pt>
                <c:pt idx="23">
                  <c:v>6</c:v>
                </c:pt>
                <c:pt idx="24">
                  <c:v>7.3096891204222043</c:v>
                </c:pt>
                <c:pt idx="25">
                  <c:v>7.6197010982368614</c:v>
                </c:pt>
                <c:pt idx="26">
                  <c:v>7.8049569159463807</c:v>
                </c:pt>
                <c:pt idx="27">
                  <c:v>7.9392484945639854</c:v>
                </c:pt>
                <c:pt idx="28">
                  <c:v>8.0457121935204245</c:v>
                </c:pt>
                <c:pt idx="29">
                  <c:v>8.2466388743341685</c:v>
                </c:pt>
                <c:pt idx="30">
                  <c:v>8.3979126206714376</c:v>
                </c:pt>
                <c:pt idx="31">
                  <c:v>8.5228549114373724</c:v>
                </c:pt>
                <c:pt idx="32">
                  <c:v>8.6320015910585379</c:v>
                </c:pt>
                <c:pt idx="33">
                  <c:v>8.7311344471911276</c:v>
                </c:pt>
                <c:pt idx="34">
                  <c:v>8.8238893107840184</c:v>
                </c:pt>
                <c:pt idx="35">
                  <c:v>8.9128307605553427</c:v>
                </c:pt>
                <c:pt idx="36">
                  <c:v>8.9999809165431532</c:v>
                </c:pt>
                <c:pt idx="37">
                  <c:v>9.0268833781150093</c:v>
                </c:pt>
                <c:pt idx="38">
                  <c:v>9.1113609961364936</c:v>
                </c:pt>
                <c:pt idx="39">
                  <c:v>9.1980884295405012</c:v>
                </c:pt>
                <c:pt idx="40">
                  <c:v>9.2889825517708218</c:v>
                </c:pt>
                <c:pt idx="41">
                  <c:v>9.3865330172994241</c:v>
                </c:pt>
                <c:pt idx="42">
                  <c:v>9.4943215168885029</c:v>
                </c:pt>
                <c:pt idx="43">
                  <c:v>9.6180911096640802</c:v>
                </c:pt>
                <c:pt idx="44">
                  <c:v>9.7683528497491121</c:v>
                </c:pt>
                <c:pt idx="45">
                  <c:v>9.8402429594405803</c:v>
                </c:pt>
                <c:pt idx="46">
                  <c:v>9.9223336607423018</c:v>
                </c:pt>
                <c:pt idx="47">
                  <c:v>10.018836906047326</c:v>
                </c:pt>
                <c:pt idx="48">
                  <c:v>10.074602148673112</c:v>
                </c:pt>
                <c:pt idx="49">
                  <c:v>10.137169231193825</c:v>
                </c:pt>
                <c:pt idx="50">
                  <c:v>10.292362473288184</c:v>
                </c:pt>
                <c:pt idx="51">
                  <c:v>10.518847316411835</c:v>
                </c:pt>
                <c:pt idx="52">
                  <c:v>10.694238811225398</c:v>
                </c:pt>
                <c:pt idx="53">
                  <c:v>10.818478909284867</c:v>
                </c:pt>
                <c:pt idx="54">
                  <c:v>10.993176253876383</c:v>
                </c:pt>
                <c:pt idx="55">
                  <c:v>11.116725535627905</c:v>
                </c:pt>
                <c:pt idx="56">
                  <c:v>11.212250524941943</c:v>
                </c:pt>
                <c:pt idx="57">
                  <c:v>11.384898426870333</c:v>
                </c:pt>
                <c:pt idx="58">
                  <c:v>11.506420892813576</c:v>
                </c:pt>
                <c:pt idx="59">
                  <c:v>11.599941298802451</c:v>
                </c:pt>
                <c:pt idx="60">
                  <c:v>11.675759188483953</c:v>
                </c:pt>
                <c:pt idx="61">
                  <c:v>11.739368468930261</c:v>
                </c:pt>
                <c:pt idx="62">
                  <c:v>11.794048359665311</c:v>
                </c:pt>
                <c:pt idx="63">
                  <c:v>11.84191389352322</c:v>
                </c:pt>
                <c:pt idx="64">
                  <c:v>11.884409086541734</c:v>
                </c:pt>
                <c:pt idx="65">
                  <c:v>11.922563797022972</c:v>
                </c:pt>
                <c:pt idx="66">
                  <c:v>11.957138346092776</c:v>
                </c:pt>
                <c:pt idx="67">
                  <c:v>11.988710051316136</c:v>
                </c:pt>
                <c:pt idx="68">
                  <c:v>12.017727600064486</c:v>
                </c:pt>
              </c:numCache>
            </c:numRef>
          </c:xVal>
          <c:yVal>
            <c:numRef>
              <c:f>T_Diprotic_Ac_B_simulation_pH!$J$72:$J$140</c:f>
              <c:numCache>
                <c:formatCode>0.00E+00</c:formatCode>
                <c:ptCount val="69"/>
                <c:pt idx="0">
                  <c:v>8.9477741452633989E-3</c:v>
                </c:pt>
                <c:pt idx="1">
                  <c:v>8.8409622653134456E-3</c:v>
                </c:pt>
                <c:pt idx="2">
                  <c:v>8.8796131381952484E-3</c:v>
                </c:pt>
                <c:pt idx="3">
                  <c:v>9.0522887581218972E-3</c:v>
                </c:pt>
                <c:pt idx="4">
                  <c:v>9.3434412054668112E-3</c:v>
                </c:pt>
                <c:pt idx="5">
                  <c:v>9.7354956846382665E-3</c:v>
                </c:pt>
                <c:pt idx="6">
                  <c:v>1.0210776839069055E-2</c:v>
                </c:pt>
                <c:pt idx="7">
                  <c:v>1.0752873770842721E-2</c:v>
                </c:pt>
                <c:pt idx="8">
                  <c:v>1.1347371050709043E-2</c:v>
                </c:pt>
                <c:pt idx="9">
                  <c:v>1.1982077824677763E-2</c:v>
                </c:pt>
                <c:pt idx="10">
                  <c:v>1.2646943012613614E-2</c:v>
                </c:pt>
                <c:pt idx="11">
                  <c:v>1.3333814880876883E-2</c:v>
                </c:pt>
                <c:pt idx="12">
                  <c:v>1.4036149318015848E-2</c:v>
                </c:pt>
                <c:pt idx="13">
                  <c:v>1.4748724286787718E-2</c:v>
                </c:pt>
                <c:pt idx="14">
                  <c:v>1.5467386479727726E-2</c:v>
                </c:pt>
                <c:pt idx="15">
                  <c:v>1.6188838192293838E-2</c:v>
                </c:pt>
                <c:pt idx="16">
                  <c:v>1.6910463432157883E-2</c:v>
                </c:pt>
                <c:pt idx="17">
                  <c:v>1.7630188528737722E-2</c:v>
                </c:pt>
                <c:pt idx="18">
                  <c:v>1.8346371483636711E-2</c:v>
                </c:pt>
                <c:pt idx="19">
                  <c:v>1.8631552275543053E-2</c:v>
                </c:pt>
                <c:pt idx="20">
                  <c:v>1.8915885692131772E-2</c:v>
                </c:pt>
                <c:pt idx="21">
                  <c:v>1.9199308205938948E-2</c:v>
                </c:pt>
                <c:pt idx="22">
                  <c:v>1.9481762153029922E-2</c:v>
                </c:pt>
                <c:pt idx="23">
                  <c:v>1.9745804050497438E-2</c:v>
                </c:pt>
                <c:pt idx="24">
                  <c:v>1.9293745720198294E-2</c:v>
                </c:pt>
                <c:pt idx="25">
                  <c:v>1.8827652511306539E-2</c:v>
                </c:pt>
                <c:pt idx="26">
                  <c:v>1.8365083427036102E-2</c:v>
                </c:pt>
                <c:pt idx="27">
                  <c:v>1.790602290216237E-2</c:v>
                </c:pt>
                <c:pt idx="28">
                  <c:v>1.7450435982778501E-2</c:v>
                </c:pt>
                <c:pt idx="29">
                  <c:v>1.6326417665912238E-2</c:v>
                </c:pt>
                <c:pt idx="30">
                  <c:v>1.5223283631762802E-2</c:v>
                </c:pt>
                <c:pt idx="31">
                  <c:v>1.4140459012522137E-2</c:v>
                </c:pt>
                <c:pt idx="32">
                  <c:v>1.3077388655475548E-2</c:v>
                </c:pt>
                <c:pt idx="33">
                  <c:v>1.2033537124168572E-2</c:v>
                </c:pt>
                <c:pt idx="34">
                  <c:v>1.1008388036322866E-2</c:v>
                </c:pt>
                <c:pt idx="35">
                  <c:v>1.0001443290960772E-2</c:v>
                </c:pt>
                <c:pt idx="36">
                  <c:v>9.0122222929089474E-3</c:v>
                </c:pt>
                <c:pt idx="37">
                  <c:v>8.6569969276472144E-3</c:v>
                </c:pt>
                <c:pt idx="38">
                  <c:v>7.7268847289299353E-3</c:v>
                </c:pt>
                <c:pt idx="39">
                  <c:v>6.8118195936612705E-3</c:v>
                </c:pt>
                <c:pt idx="40">
                  <c:v>5.9115295234751534E-3</c:v>
                </c:pt>
                <c:pt idx="41">
                  <c:v>5.0257316564765253E-3</c:v>
                </c:pt>
                <c:pt idx="42">
                  <c:v>4.1541373454947314E-3</c:v>
                </c:pt>
                <c:pt idx="43">
                  <c:v>3.2964557023863203E-3</c:v>
                </c:pt>
                <c:pt idx="44">
                  <c:v>2.4523961046687675E-3</c:v>
                </c:pt>
                <c:pt idx="45">
                  <c:v>2.1185216981218515E-3</c:v>
                </c:pt>
                <c:pt idx="46">
                  <c:v>1.7867622771210109E-3</c:v>
                </c:pt>
                <c:pt idx="47">
                  <c:v>1.4570996056236384E-3</c:v>
                </c:pt>
                <c:pt idx="48">
                  <c:v>1.2930488808541233E-3</c:v>
                </c:pt>
                <c:pt idx="49">
                  <c:v>1.1295155532707471E-3</c:v>
                </c:pt>
                <c:pt idx="50">
                  <c:v>8.0399210314104986E-4</c:v>
                </c:pt>
                <c:pt idx="51">
                  <c:v>4.7254760479520017E-4</c:v>
                </c:pt>
                <c:pt idx="52">
                  <c:v>3.0352349272544377E-4</c:v>
                </c:pt>
                <c:pt idx="53">
                  <c:v>2.2054163416377489E-4</c:v>
                </c:pt>
                <c:pt idx="54">
                  <c:v>1.4259481363979341E-4</c:v>
                </c:pt>
                <c:pt idx="55">
                  <c:v>1.0435934947878915E-4</c:v>
                </c:pt>
                <c:pt idx="56">
                  <c:v>8.1783851499116184E-5</c:v>
                </c:pt>
                <c:pt idx="57">
                  <c:v>5.3053564570169527E-5</c:v>
                </c:pt>
                <c:pt idx="58">
                  <c:v>3.8877859806059196E-5</c:v>
                </c:pt>
                <c:pt idx="59">
                  <c:v>3.0461241984487168E-5</c:v>
                </c:pt>
                <c:pt idx="60">
                  <c:v>2.4901110204175207E-5</c:v>
                </c:pt>
                <c:pt idx="61">
                  <c:v>2.0962658623033455E-5</c:v>
                </c:pt>
                <c:pt idx="62">
                  <c:v>1.8032095885494781E-5</c:v>
                </c:pt>
                <c:pt idx="63">
                  <c:v>1.5770092047429195E-5</c:v>
                </c:pt>
                <c:pt idx="64">
                  <c:v>1.3973910507756788E-5</c:v>
                </c:pt>
                <c:pt idx="65">
                  <c:v>1.2515023630668348E-5</c:v>
                </c:pt>
                <c:pt idx="66">
                  <c:v>1.1308041044311424E-5</c:v>
                </c:pt>
                <c:pt idx="67">
                  <c:v>1.0294035266317214E-5</c:v>
                </c:pt>
                <c:pt idx="68">
                  <c:v>9.431042163571049E-6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F5-41D2-ADBF-C5B24102E35B}"/>
            </c:ext>
          </c:extLst>
        </c:ser>
        <c:ser>
          <c:idx val="2"/>
          <c:order val="2"/>
          <c:tx>
            <c:v>A-</c:v>
          </c:tx>
          <c:xVal>
            <c:numRef>
              <c:f>T_Diprotic_Ac_B_simulation_pH!$O$72:$O$140</c:f>
              <c:numCache>
                <c:formatCode>0.00</c:formatCode>
                <c:ptCount val="69"/>
                <c:pt idx="0">
                  <c:v>2.7602017976424706</c:v>
                </c:pt>
                <c:pt idx="1">
                  <c:v>2.7601183117076697</c:v>
                </c:pt>
                <c:pt idx="2">
                  <c:v>2.7711934483495413</c:v>
                </c:pt>
                <c:pt idx="3">
                  <c:v>2.792715543527982</c:v>
                </c:pt>
                <c:pt idx="4">
                  <c:v>2.8234917392478329</c:v>
                </c:pt>
                <c:pt idx="5">
                  <c:v>2.8621339291303536</c:v>
                </c:pt>
                <c:pt idx="6">
                  <c:v>2.9073205411861851</c:v>
                </c:pt>
                <c:pt idx="7">
                  <c:v>2.9579709638378469</c:v>
                </c:pt>
                <c:pt idx="8">
                  <c:v>3.0133300504733724</c:v>
                </c:pt>
                <c:pt idx="9">
                  <c:v>3.0729933519131785</c:v>
                </c:pt>
                <c:pt idx="10">
                  <c:v>3.1369095210428686</c:v>
                </c:pt>
                <c:pt idx="11">
                  <c:v>3.2053903880888752</c:v>
                </c:pt>
                <c:pt idx="12">
                  <c:v>3.2791547251118147</c:v>
                </c:pt>
                <c:pt idx="13">
                  <c:v>3.359436815719552</c:v>
                </c:pt>
                <c:pt idx="14">
                  <c:v>3.4482150416678681</c:v>
                </c:pt>
                <c:pt idx="15">
                  <c:v>3.5486837715628288</c:v>
                </c:pt>
                <c:pt idx="16">
                  <c:v>3.6662881594305721</c:v>
                </c:pt>
                <c:pt idx="17">
                  <c:v>3.8113033689438178</c:v>
                </c:pt>
                <c:pt idx="18">
                  <c:v>4.0068426013157987</c:v>
                </c:pt>
                <c:pt idx="19">
                  <c:v>4.1113535624166095</c:v>
                </c:pt>
                <c:pt idx="20">
                  <c:v>4.2437877800683932</c:v>
                </c:pt>
                <c:pt idx="21">
                  <c:v>4.4272583939808507</c:v>
                </c:pt>
                <c:pt idx="22">
                  <c:v>4.7354948296233674</c:v>
                </c:pt>
                <c:pt idx="23">
                  <c:v>6</c:v>
                </c:pt>
                <c:pt idx="24">
                  <c:v>7.3096891204222043</c:v>
                </c:pt>
                <c:pt idx="25">
                  <c:v>7.6197010982368614</c:v>
                </c:pt>
                <c:pt idx="26">
                  <c:v>7.8049569159463807</c:v>
                </c:pt>
                <c:pt idx="27">
                  <c:v>7.9392484945639854</c:v>
                </c:pt>
                <c:pt idx="28">
                  <c:v>8.0457121935204245</c:v>
                </c:pt>
                <c:pt idx="29">
                  <c:v>8.2466388743341685</c:v>
                </c:pt>
                <c:pt idx="30">
                  <c:v>8.3979126206714376</c:v>
                </c:pt>
                <c:pt idx="31">
                  <c:v>8.5228549114373724</c:v>
                </c:pt>
                <c:pt idx="32">
                  <c:v>8.6320015910585379</c:v>
                </c:pt>
                <c:pt idx="33">
                  <c:v>8.7311344471911276</c:v>
                </c:pt>
                <c:pt idx="34">
                  <c:v>8.8238893107840184</c:v>
                </c:pt>
                <c:pt idx="35">
                  <c:v>8.9128307605553427</c:v>
                </c:pt>
                <c:pt idx="36">
                  <c:v>8.9999809165431532</c:v>
                </c:pt>
                <c:pt idx="37">
                  <c:v>9.0268833781150093</c:v>
                </c:pt>
                <c:pt idx="38">
                  <c:v>9.1113609961364936</c:v>
                </c:pt>
                <c:pt idx="39">
                  <c:v>9.1980884295405012</c:v>
                </c:pt>
                <c:pt idx="40">
                  <c:v>9.2889825517708218</c:v>
                </c:pt>
                <c:pt idx="41">
                  <c:v>9.3865330172994241</c:v>
                </c:pt>
                <c:pt idx="42">
                  <c:v>9.4943215168885029</c:v>
                </c:pt>
                <c:pt idx="43">
                  <c:v>9.6180911096640802</c:v>
                </c:pt>
                <c:pt idx="44">
                  <c:v>9.7683528497491121</c:v>
                </c:pt>
                <c:pt idx="45">
                  <c:v>9.8402429594405803</c:v>
                </c:pt>
                <c:pt idx="46">
                  <c:v>9.9223336607423018</c:v>
                </c:pt>
                <c:pt idx="47">
                  <c:v>10.018836906047326</c:v>
                </c:pt>
                <c:pt idx="48">
                  <c:v>10.074602148673112</c:v>
                </c:pt>
                <c:pt idx="49">
                  <c:v>10.137169231193825</c:v>
                </c:pt>
                <c:pt idx="50">
                  <c:v>10.292362473288184</c:v>
                </c:pt>
                <c:pt idx="51">
                  <c:v>10.518847316411835</c:v>
                </c:pt>
                <c:pt idx="52">
                  <c:v>10.694238811225398</c:v>
                </c:pt>
                <c:pt idx="53">
                  <c:v>10.818478909284867</c:v>
                </c:pt>
                <c:pt idx="54">
                  <c:v>10.993176253876383</c:v>
                </c:pt>
                <c:pt idx="55">
                  <c:v>11.116725535627905</c:v>
                </c:pt>
                <c:pt idx="56">
                  <c:v>11.212250524941943</c:v>
                </c:pt>
                <c:pt idx="57">
                  <c:v>11.384898426870333</c:v>
                </c:pt>
                <c:pt idx="58">
                  <c:v>11.506420892813576</c:v>
                </c:pt>
                <c:pt idx="59">
                  <c:v>11.599941298802451</c:v>
                </c:pt>
                <c:pt idx="60">
                  <c:v>11.675759188483953</c:v>
                </c:pt>
                <c:pt idx="61">
                  <c:v>11.739368468930261</c:v>
                </c:pt>
                <c:pt idx="62">
                  <c:v>11.794048359665311</c:v>
                </c:pt>
                <c:pt idx="63">
                  <c:v>11.84191389352322</c:v>
                </c:pt>
                <c:pt idx="64">
                  <c:v>11.884409086541734</c:v>
                </c:pt>
                <c:pt idx="65">
                  <c:v>11.922563797022972</c:v>
                </c:pt>
                <c:pt idx="66">
                  <c:v>11.957138346092776</c:v>
                </c:pt>
                <c:pt idx="67">
                  <c:v>11.988710051316136</c:v>
                </c:pt>
                <c:pt idx="68">
                  <c:v>12.017727600064486</c:v>
                </c:pt>
              </c:numCache>
            </c:numRef>
          </c:xVal>
          <c:yVal>
            <c:numRef>
              <c:f>T_Diprotic_Ac_B_simulation_pH!$L$72:$L$140</c:f>
              <c:numCache>
                <c:formatCode>0.00E+00</c:formatCode>
                <c:ptCount val="69"/>
                <c:pt idx="0">
                  <c:v>5.1512996209770353E-9</c:v>
                </c:pt>
                <c:pt idx="1">
                  <c:v>5.0888288960240225E-9</c:v>
                </c:pt>
                <c:pt idx="2">
                  <c:v>5.2430921829029582E-9</c:v>
                </c:pt>
                <c:pt idx="3">
                  <c:v>5.6166057799456595E-9</c:v>
                </c:pt>
                <c:pt idx="4">
                  <c:v>6.2229827387609638E-9</c:v>
                </c:pt>
                <c:pt idx="5">
                  <c:v>7.0874824701184751E-9</c:v>
                </c:pt>
                <c:pt idx="6">
                  <c:v>8.2485825634086788E-9</c:v>
                </c:pt>
                <c:pt idx="7">
                  <c:v>9.7610269407444809E-9</c:v>
                </c:pt>
                <c:pt idx="8">
                  <c:v>1.1701062704445355E-8</c:v>
                </c:pt>
                <c:pt idx="9">
                  <c:v>1.4175078999795597E-8</c:v>
                </c:pt>
                <c:pt idx="10">
                  <c:v>1.7333851940840437E-8</c:v>
                </c:pt>
                <c:pt idx="11">
                  <c:v>2.1396602050147909E-8</c:v>
                </c:pt>
                <c:pt idx="12">
                  <c:v>2.6693326879526426E-8</c:v>
                </c:pt>
                <c:pt idx="13">
                  <c:v>3.3743589001486138E-8</c:v>
                </c:pt>
                <c:pt idx="14">
                  <c:v>4.3414217625606485E-8</c:v>
                </c:pt>
                <c:pt idx="15">
                  <c:v>5.7266343487670019E-8</c:v>
                </c:pt>
                <c:pt idx="16">
                  <c:v>7.8423039227464288E-8</c:v>
                </c:pt>
                <c:pt idx="17">
                  <c:v>1.1417218837702412E-7</c:v>
                </c:pt>
                <c:pt idx="18">
                  <c:v>1.8637720060457436E-7</c:v>
                </c:pt>
                <c:pt idx="19">
                  <c:v>2.4077012696726031E-7</c:v>
                </c:pt>
                <c:pt idx="20">
                  <c:v>3.3159995351505937E-7</c:v>
                </c:pt>
                <c:pt idx="21">
                  <c:v>5.1350416958878438E-7</c:v>
                </c:pt>
                <c:pt idx="22">
                  <c:v>1.0595539295780911E-6</c:v>
                </c:pt>
                <c:pt idx="23">
                  <c:v>8.7907795428323804E-6</c:v>
                </c:pt>
                <c:pt idx="24">
                  <c:v>3.9364584424127674E-4</c:v>
                </c:pt>
                <c:pt idx="25">
                  <c:v>7.843271930172449E-4</c:v>
                </c:pt>
                <c:pt idx="26">
                  <c:v>1.1720599376103512E-3</c:v>
                </c:pt>
                <c:pt idx="27">
                  <c:v>1.5568530799935161E-3</c:v>
                </c:pt>
                <c:pt idx="28">
                  <c:v>1.9387351102406213E-3</c:v>
                </c:pt>
                <c:pt idx="29">
                  <c:v>2.8809105690079332E-3</c:v>
                </c:pt>
                <c:pt idx="30">
                  <c:v>3.805580908256018E-3</c:v>
                </c:pt>
                <c:pt idx="31">
                  <c:v>4.7132276710602321E-3</c:v>
                </c:pt>
                <c:pt idx="32">
                  <c:v>5.6043160906078717E-3</c:v>
                </c:pt>
                <c:pt idx="33">
                  <c:v>6.4792949351250304E-3</c:v>
                </c:pt>
                <c:pt idx="34">
                  <c:v>7.3385970243270921E-3</c:v>
                </c:pt>
                <c:pt idx="35">
                  <c:v>8.1826398644189863E-3</c:v>
                </c:pt>
                <c:pt idx="36">
                  <c:v>9.0118262929968287E-3</c:v>
                </c:pt>
                <c:pt idx="37">
                  <c:v>9.2098093804402325E-3</c:v>
                </c:pt>
                <c:pt idx="38">
                  <c:v>9.9853991449541206E-3</c:v>
                </c:pt>
                <c:pt idx="39">
                  <c:v>1.0748591726393208E-2</c:v>
                </c:pt>
                <c:pt idx="40">
                  <c:v>1.1499591539059129E-2</c:v>
                </c:pt>
                <c:pt idx="41">
                  <c:v>1.2238616139678577E-2</c:v>
                </c:pt>
                <c:pt idx="42">
                  <c:v>1.296589105389905E-2</c:v>
                </c:pt>
                <c:pt idx="43">
                  <c:v>1.3681646141472955E-2</c:v>
                </c:pt>
                <c:pt idx="44">
                  <c:v>1.4386113003575989E-2</c:v>
                </c:pt>
                <c:pt idx="45">
                  <c:v>1.4664790933051321E-2</c:v>
                </c:pt>
                <c:pt idx="46">
                  <c:v>1.494171456174162E-2</c:v>
                </c:pt>
                <c:pt idx="47">
                  <c:v>1.5216898601827939E-2</c:v>
                </c:pt>
                <c:pt idx="48">
                  <c:v>1.5353842857553911E-2</c:v>
                </c:pt>
                <c:pt idx="49">
                  <c:v>1.5490357705562501E-2</c:v>
                </c:pt>
                <c:pt idx="50">
                  <c:v>1.5762106456774394E-2</c:v>
                </c:pt>
                <c:pt idx="51">
                  <c:v>1.5086058615938109E-2</c:v>
                </c:pt>
                <c:pt idx="52">
                  <c:v>1.4591623896983805E-2</c:v>
                </c:pt>
                <c:pt idx="53">
                  <c:v>1.417480316116838E-2</c:v>
                </c:pt>
                <c:pt idx="54">
                  <c:v>1.3786467885169358E-2</c:v>
                </c:pt>
                <c:pt idx="55">
                  <c:v>1.346089832615713E-2</c:v>
                </c:pt>
                <c:pt idx="56">
                  <c:v>1.3177473778800358E-2</c:v>
                </c:pt>
                <c:pt idx="57">
                  <c:v>1.2767546935982005E-2</c:v>
                </c:pt>
                <c:pt idx="58">
                  <c:v>1.240077257449744E-2</c:v>
                </c:pt>
                <c:pt idx="59">
                  <c:v>1.2064885835410233E-2</c:v>
                </c:pt>
                <c:pt idx="60">
                  <c:v>1.175316564766505E-2</c:v>
                </c:pt>
                <c:pt idx="61">
                  <c:v>1.1461407326281843E-2</c:v>
                </c:pt>
                <c:pt idx="62">
                  <c:v>1.1186725060281281E-2</c:v>
                </c:pt>
                <c:pt idx="63">
                  <c:v>1.0927000638437283E-2</c:v>
                </c:pt>
                <c:pt idx="64">
                  <c:v>1.0680599807786659E-2</c:v>
                </c:pt>
                <c:pt idx="65">
                  <c:v>1.044621330939528E-2</c:v>
                </c:pt>
                <c:pt idx="66">
                  <c:v>1.0222761508271647E-2</c:v>
                </c:pt>
                <c:pt idx="67">
                  <c:v>1.0009333892921629E-2</c:v>
                </c:pt>
                <c:pt idx="68">
                  <c:v>9.8051488614293945E-3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F5-41D2-ADBF-C5B24102E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081424"/>
        <c:axId val="2144082672"/>
      </c:scatterChart>
      <c:valAx>
        <c:axId val="2144081424"/>
        <c:scaling>
          <c:orientation val="minMax"/>
          <c:min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2000"/>
                </a:pPr>
                <a:r>
                  <a:rPr lang="pt-PT" sz="2000"/>
                  <a:t>pH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2672"/>
        <c:crosses val="autoZero"/>
        <c:crossBetween val="midCat"/>
        <c:majorUnit val="2"/>
        <c:minorUnit val="2"/>
      </c:valAx>
      <c:valAx>
        <c:axId val="214408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Concentration</a:t>
                </a:r>
                <a:r>
                  <a:rPr lang="pt-PT" baseline="0"/>
                  <a:t> / mol/dm-3</a:t>
                </a:r>
                <a:endParaRPr lang="pt-PT"/>
              </a:p>
            </c:rich>
          </c:tx>
          <c:layout/>
          <c:overlay val="0"/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144081424"/>
        <c:crosses val="autoZero"/>
        <c:crossBetween val="midCat"/>
      </c:valAx>
      <c:spPr>
        <a:ln w="158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"/>
          <c:y val="0.12736245012401595"/>
          <c:w val="0.93063217230892681"/>
          <c:h val="0.15886945373066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ln w="19050">
      <a:solidFill>
        <a:schemeClr val="tx1"/>
      </a:solidFill>
    </a:ln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17</xdr:row>
      <xdr:rowOff>74816</xdr:rowOff>
    </xdr:from>
    <xdr:to>
      <xdr:col>8</xdr:col>
      <xdr:colOff>60960</xdr:colOff>
      <xdr:row>59</xdr:row>
      <xdr:rowOff>205740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213360</xdr:colOff>
      <xdr:row>17</xdr:row>
      <xdr:rowOff>65711</xdr:rowOff>
    </xdr:from>
    <xdr:to>
      <xdr:col>14</xdr:col>
      <xdr:colOff>171450</xdr:colOff>
      <xdr:row>60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514350</xdr:colOff>
      <xdr:row>17</xdr:row>
      <xdr:rowOff>39140</xdr:rowOff>
    </xdr:from>
    <xdr:to>
      <xdr:col>26</xdr:col>
      <xdr:colOff>8312</xdr:colOff>
      <xdr:row>60</xdr:row>
      <xdr:rowOff>24245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180110</xdr:colOff>
      <xdr:row>17</xdr:row>
      <xdr:rowOff>41563</xdr:rowOff>
    </xdr:from>
    <xdr:to>
      <xdr:col>40</xdr:col>
      <xdr:colOff>136173</xdr:colOff>
      <xdr:row>60</xdr:row>
      <xdr:rowOff>26668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1</cdr:x>
      <cdr:y>0.22319</cdr:y>
    </cdr:from>
    <cdr:to>
      <cdr:x>1</cdr:x>
      <cdr:y>1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0053720" y="2602568"/>
          <a:ext cx="0" cy="797982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C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17</xdr:row>
      <xdr:rowOff>74816</xdr:rowOff>
    </xdr:from>
    <xdr:to>
      <xdr:col>8</xdr:col>
      <xdr:colOff>60960</xdr:colOff>
      <xdr:row>59</xdr:row>
      <xdr:rowOff>205740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213360</xdr:colOff>
      <xdr:row>17</xdr:row>
      <xdr:rowOff>65711</xdr:rowOff>
    </xdr:from>
    <xdr:to>
      <xdr:col>14</xdr:col>
      <xdr:colOff>1424247</xdr:colOff>
      <xdr:row>60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1576249</xdr:colOff>
      <xdr:row>17</xdr:row>
      <xdr:rowOff>52995</xdr:rowOff>
    </xdr:from>
    <xdr:to>
      <xdr:col>27</xdr:col>
      <xdr:colOff>590203</xdr:colOff>
      <xdr:row>60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0</xdr:colOff>
      <xdr:row>17</xdr:row>
      <xdr:rowOff>0</xdr:rowOff>
    </xdr:from>
    <xdr:to>
      <xdr:col>41</xdr:col>
      <xdr:colOff>565663</xdr:colOff>
      <xdr:row>59</xdr:row>
      <xdr:rowOff>220633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</cdr:x>
      <cdr:y>0.22319</cdr:y>
    </cdr:from>
    <cdr:to>
      <cdr:x>1</cdr:x>
      <cdr:y>1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0053720" y="2602568"/>
          <a:ext cx="0" cy="797982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C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N136"/>
  <sheetViews>
    <sheetView topLeftCell="A13" zoomScale="55" zoomScaleNormal="55" workbookViewId="0">
      <selection activeCell="D13" sqref="D13"/>
    </sheetView>
  </sheetViews>
  <sheetFormatPr defaultRowHeight="14.4" x14ac:dyDescent="0.3"/>
  <cols>
    <col min="2" max="2" width="24" customWidth="1"/>
    <col min="3" max="3" width="13.44140625" customWidth="1"/>
    <col min="4" max="4" width="23.6640625" customWidth="1"/>
    <col min="5" max="10" width="22.5546875" customWidth="1"/>
    <col min="11" max="11" width="18.44140625" customWidth="1"/>
    <col min="12" max="12" width="22.44140625" customWidth="1"/>
    <col min="13" max="13" width="30" customWidth="1"/>
    <col min="14" max="14" width="22.109375" customWidth="1"/>
    <col min="15" max="15" width="15.109375" customWidth="1"/>
    <col min="16" max="16" width="13" customWidth="1"/>
    <col min="17" max="17" width="12.5546875" customWidth="1"/>
    <col min="18" max="18" width="3.5546875" customWidth="1"/>
    <col min="19" max="19" width="15.5546875" customWidth="1"/>
    <col min="20" max="20" width="14.44140625" bestFit="1" customWidth="1"/>
    <col min="21" max="21" width="12" bestFit="1" customWidth="1"/>
    <col min="22" max="22" width="2.77734375" customWidth="1"/>
    <col min="23" max="23" width="13.88671875" customWidth="1"/>
    <col min="24" max="24" width="12.33203125" bestFit="1" customWidth="1"/>
    <col min="27" max="27" width="20.109375" bestFit="1" customWidth="1"/>
    <col min="28" max="28" width="17.88671875" bestFit="1" customWidth="1"/>
  </cols>
  <sheetData>
    <row r="4" spans="2:40" ht="134.4" customHeight="1" x14ac:dyDescent="1.1000000000000001">
      <c r="B4" s="50" t="s">
        <v>40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2:40" ht="49.2" customHeight="1" x14ac:dyDescent="0.55000000000000004">
      <c r="B5" s="6" t="s">
        <v>43</v>
      </c>
      <c r="C5" s="6"/>
      <c r="D5" s="7"/>
      <c r="E5" s="7"/>
      <c r="F5" s="7" t="s">
        <v>35</v>
      </c>
      <c r="G5" s="7"/>
      <c r="H5" s="7" t="s">
        <v>47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7" spans="2:40" ht="40.799999999999997" customHeight="1" x14ac:dyDescent="0.45">
      <c r="B7" s="79" t="s">
        <v>31</v>
      </c>
      <c r="C7" s="78"/>
      <c r="D7" s="78"/>
    </row>
    <row r="8" spans="2:40" x14ac:dyDescent="0.3">
      <c r="B8" s="72"/>
      <c r="C8" s="71"/>
      <c r="D8" s="71"/>
    </row>
    <row r="9" spans="2:40" ht="21" x14ac:dyDescent="0.4">
      <c r="B9" s="11"/>
      <c r="C9" s="73" t="s">
        <v>30</v>
      </c>
      <c r="D9" s="80">
        <v>0.1</v>
      </c>
      <c r="E9" s="76" t="s">
        <v>34</v>
      </c>
      <c r="F9" s="51"/>
    </row>
    <row r="10" spans="2:40" ht="21" x14ac:dyDescent="0.4">
      <c r="B10" s="11"/>
      <c r="C10" s="73" t="s">
        <v>9</v>
      </c>
      <c r="D10" s="80">
        <v>0.1</v>
      </c>
      <c r="E10" s="76" t="s">
        <v>34</v>
      </c>
      <c r="F10" s="51"/>
    </row>
    <row r="11" spans="2:40" ht="21" x14ac:dyDescent="0.4">
      <c r="B11" s="11"/>
      <c r="C11" s="73" t="s">
        <v>37</v>
      </c>
      <c r="D11" s="104">
        <v>30</v>
      </c>
      <c r="E11" s="76" t="s">
        <v>0</v>
      </c>
      <c r="F11" s="105"/>
      <c r="G11" s="106"/>
    </row>
    <row r="12" spans="2:40" ht="21.6" x14ac:dyDescent="0.45">
      <c r="B12" s="11"/>
      <c r="C12" s="74" t="s">
        <v>11</v>
      </c>
      <c r="D12" s="104">
        <v>6</v>
      </c>
      <c r="F12" s="100" t="s">
        <v>28</v>
      </c>
      <c r="G12" s="101">
        <f>10^(-D12)</f>
        <v>9.9999999999999995E-7</v>
      </c>
    </row>
    <row r="13" spans="2:40" ht="21" x14ac:dyDescent="0.4">
      <c r="B13" s="11"/>
      <c r="C13" s="73" t="s">
        <v>21</v>
      </c>
      <c r="D13" s="104">
        <v>14</v>
      </c>
      <c r="F13" s="100" t="s">
        <v>22</v>
      </c>
      <c r="G13" s="101">
        <f>10^(-D13)</f>
        <v>1E-14</v>
      </c>
      <c r="H13" s="13"/>
      <c r="I13" s="13"/>
      <c r="J13" s="13"/>
    </row>
    <row r="14" spans="2:40" ht="18" x14ac:dyDescent="0.35">
      <c r="B14" s="11"/>
      <c r="C14" s="11"/>
      <c r="D14" s="75"/>
      <c r="F14" s="102" t="s">
        <v>33</v>
      </c>
      <c r="G14" s="103">
        <f>D9*D11/D10</f>
        <v>30</v>
      </c>
      <c r="H14" s="13"/>
      <c r="I14" s="13"/>
      <c r="J14" s="13"/>
    </row>
    <row r="15" spans="2:40" ht="18" x14ac:dyDescent="0.35">
      <c r="F15" s="49"/>
      <c r="H15" s="77" t="s">
        <v>0</v>
      </c>
      <c r="I15" s="13"/>
      <c r="J15" s="13"/>
    </row>
    <row r="16" spans="2:40" ht="34.200000000000003" customHeight="1" x14ac:dyDescent="0.3"/>
    <row r="18" spans="1:1" ht="40.799999999999997" customHeight="1" x14ac:dyDescent="0.3"/>
    <row r="19" spans="1:1" ht="10.8" customHeight="1" x14ac:dyDescent="0.3"/>
    <row r="20" spans="1:1" ht="18.600000000000001" customHeight="1" x14ac:dyDescent="0.3">
      <c r="A20" s="14"/>
    </row>
    <row r="21" spans="1:1" ht="18.600000000000001" customHeight="1" x14ac:dyDescent="0.3"/>
    <row r="22" spans="1:1" ht="18.600000000000001" customHeight="1" x14ac:dyDescent="0.3"/>
    <row r="23" spans="1:1" ht="18.600000000000001" customHeight="1" x14ac:dyDescent="0.3"/>
    <row r="24" spans="1:1" ht="18.600000000000001" customHeight="1" x14ac:dyDescent="0.3"/>
    <row r="25" spans="1:1" ht="18.600000000000001" customHeight="1" x14ac:dyDescent="0.3"/>
    <row r="26" spans="1:1" ht="18.600000000000001" customHeight="1" x14ac:dyDescent="0.3"/>
    <row r="27" spans="1:1" ht="18.600000000000001" customHeight="1" x14ac:dyDescent="0.3"/>
    <row r="28" spans="1:1" ht="18.600000000000001" customHeight="1" x14ac:dyDescent="0.3"/>
    <row r="29" spans="1:1" ht="18.600000000000001" customHeight="1" x14ac:dyDescent="0.3"/>
    <row r="30" spans="1:1" ht="18.600000000000001" customHeight="1" x14ac:dyDescent="0.3"/>
    <row r="31" spans="1:1" ht="18.600000000000001" customHeight="1" x14ac:dyDescent="0.3"/>
    <row r="32" spans="1:1" ht="18.600000000000001" customHeight="1" x14ac:dyDescent="0.3"/>
    <row r="33" ht="18.600000000000001" customHeight="1" x14ac:dyDescent="0.3"/>
    <row r="34" ht="18.600000000000001" customHeight="1" x14ac:dyDescent="0.3"/>
    <row r="35" ht="18.600000000000001" customHeight="1" x14ac:dyDescent="0.3"/>
    <row r="36" ht="18.600000000000001" customHeight="1" x14ac:dyDescent="0.3"/>
    <row r="37" ht="18.600000000000001" customHeight="1" x14ac:dyDescent="0.3"/>
    <row r="38" ht="18.600000000000001" customHeight="1" x14ac:dyDescent="0.3"/>
    <row r="39" ht="18.600000000000001" customHeight="1" x14ac:dyDescent="0.3"/>
    <row r="40" ht="18.600000000000001" customHeight="1" x14ac:dyDescent="0.3"/>
    <row r="41" ht="18.600000000000001" customHeight="1" x14ac:dyDescent="0.3"/>
    <row r="42" ht="18.600000000000001" customHeight="1" x14ac:dyDescent="0.3"/>
    <row r="43" ht="18.600000000000001" customHeight="1" x14ac:dyDescent="0.3"/>
    <row r="44" ht="18.600000000000001" customHeight="1" x14ac:dyDescent="0.3"/>
    <row r="45" ht="18.600000000000001" customHeight="1" x14ac:dyDescent="0.3"/>
    <row r="46" ht="18.600000000000001" customHeight="1" x14ac:dyDescent="0.3"/>
    <row r="47" ht="18.600000000000001" customHeight="1" x14ac:dyDescent="0.3"/>
    <row r="48" ht="18.600000000000001" customHeight="1" x14ac:dyDescent="0.3"/>
    <row r="49" ht="18.600000000000001" customHeight="1" x14ac:dyDescent="0.3"/>
    <row r="50" ht="18.600000000000001" customHeight="1" x14ac:dyDescent="0.3"/>
    <row r="51" ht="18.600000000000001" customHeight="1" x14ac:dyDescent="0.3"/>
    <row r="52" ht="18.600000000000001" customHeight="1" x14ac:dyDescent="0.3"/>
    <row r="53" ht="18.600000000000001" customHeight="1" x14ac:dyDescent="0.3"/>
    <row r="54" ht="18.600000000000001" customHeight="1" x14ac:dyDescent="0.3"/>
    <row r="55" ht="18.600000000000001" customHeight="1" x14ac:dyDescent="0.3"/>
    <row r="56" ht="18.600000000000001" customHeight="1" x14ac:dyDescent="0.3"/>
    <row r="57" ht="18.600000000000001" customHeight="1" x14ac:dyDescent="0.3"/>
    <row r="58" ht="18.600000000000001" customHeight="1" x14ac:dyDescent="0.3"/>
    <row r="59" ht="18.600000000000001" customHeight="1" x14ac:dyDescent="0.3"/>
    <row r="60" ht="18.600000000000001" customHeight="1" x14ac:dyDescent="0.3"/>
    <row r="61" ht="18.600000000000001" customHeight="1" x14ac:dyDescent="0.3"/>
    <row r="62" ht="18.600000000000001" customHeight="1" x14ac:dyDescent="0.3"/>
    <row r="63" ht="18.600000000000001" customHeight="1" x14ac:dyDescent="0.3"/>
    <row r="64" ht="18.600000000000001" customHeight="1" thickBot="1" x14ac:dyDescent="0.35"/>
    <row r="65" spans="2:20" ht="18.600000000000001" customHeight="1" thickBot="1" x14ac:dyDescent="0.6">
      <c r="B65" s="95" t="s">
        <v>32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7"/>
    </row>
    <row r="66" spans="2:20" ht="45.6" customHeight="1" x14ac:dyDescent="0.3">
      <c r="B66" s="98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18"/>
      <c r="Q66" s="19"/>
      <c r="R66" s="90"/>
      <c r="S66" s="19"/>
      <c r="T66" s="20"/>
    </row>
    <row r="67" spans="2:20" ht="18.600000000000001" customHeight="1" x14ac:dyDescent="0.3">
      <c r="B67" s="98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21" t="s">
        <v>45</v>
      </c>
      <c r="Q67" s="22"/>
      <c r="R67" s="91"/>
      <c r="S67" s="23" t="s">
        <v>46</v>
      </c>
      <c r="T67" s="24"/>
    </row>
    <row r="68" spans="2:20" ht="18.600000000000001" customHeight="1" thickBot="1" x14ac:dyDescent="0.35">
      <c r="B68" s="98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25"/>
      <c r="Q68" s="26"/>
      <c r="R68" s="92"/>
      <c r="S68" s="26"/>
      <c r="T68" s="27"/>
    </row>
    <row r="69" spans="2:20" ht="18.600000000000001" customHeight="1" thickBot="1" x14ac:dyDescent="0.4">
      <c r="B69" s="52" t="s">
        <v>1</v>
      </c>
      <c r="C69" s="56" t="s">
        <v>23</v>
      </c>
      <c r="D69" s="57" t="s">
        <v>24</v>
      </c>
      <c r="E69" s="57" t="s">
        <v>25</v>
      </c>
      <c r="F69" s="57" t="s">
        <v>26</v>
      </c>
      <c r="G69" s="58" t="s">
        <v>16</v>
      </c>
      <c r="H69" s="58" t="s">
        <v>36</v>
      </c>
      <c r="I69" s="58" t="s">
        <v>18</v>
      </c>
      <c r="J69" s="58" t="s">
        <v>19</v>
      </c>
      <c r="K69" s="58" t="s">
        <v>39</v>
      </c>
      <c r="L69" s="58" t="s">
        <v>20</v>
      </c>
      <c r="M69" s="58" t="s">
        <v>15</v>
      </c>
      <c r="N69" s="53" t="s">
        <v>44</v>
      </c>
      <c r="O69" s="16"/>
      <c r="P69" s="29" t="s">
        <v>3</v>
      </c>
      <c r="Q69" s="30" t="s">
        <v>2</v>
      </c>
      <c r="R69" s="93"/>
      <c r="S69" s="30" t="s">
        <v>7</v>
      </c>
      <c r="T69" s="31" t="s">
        <v>6</v>
      </c>
    </row>
    <row r="70" spans="2:20" ht="38.4" customHeight="1" thickBot="1" x14ac:dyDescent="0.35">
      <c r="B70" s="4"/>
      <c r="C70" s="5"/>
      <c r="D70" s="5"/>
      <c r="E70" s="5"/>
      <c r="F70" s="5"/>
      <c r="G70" s="99"/>
      <c r="H70" s="99"/>
      <c r="I70" s="99"/>
      <c r="J70" s="99"/>
      <c r="K70" s="99"/>
      <c r="L70" s="99"/>
      <c r="M70" s="99"/>
      <c r="N70" s="32"/>
      <c r="O70" s="17"/>
      <c r="P70" s="30"/>
      <c r="Q70" s="30"/>
      <c r="R70" s="93"/>
      <c r="S70" s="30"/>
      <c r="T70" s="31"/>
    </row>
    <row r="71" spans="2:20" ht="17.399999999999999" customHeight="1" x14ac:dyDescent="0.3">
      <c r="B71" s="54">
        <v>1</v>
      </c>
      <c r="C71" s="3">
        <v>0</v>
      </c>
      <c r="D71" s="3">
        <f t="shared" ref="D71:D107" si="0">C71*$G$14</f>
        <v>0</v>
      </c>
      <c r="E71" s="35">
        <f>(-(I71+Ka1_+Kw^0.5)+((I71+Ka1_+Kw^0.5)^2-4*1*(-Ka1_*G71+I71*Kw^0.5))^0.5)</f>
        <v>6.3135648862194468E-4</v>
      </c>
      <c r="F71" s="34">
        <f>V_HA/(V_HA+D71)</f>
        <v>1</v>
      </c>
      <c r="G71" s="36">
        <f>(Co_HA-C71*Co_HA)*F71</f>
        <v>0.1</v>
      </c>
      <c r="H71" s="36">
        <f>G71-E71</f>
        <v>9.9368643511378058E-2</v>
      </c>
      <c r="I71" s="38">
        <f>(C71*Co_HA)*F71</f>
        <v>0</v>
      </c>
      <c r="J71" s="38">
        <f t="shared" ref="J71:J93" si="1">I71+E71</f>
        <v>6.3135648862194468E-4</v>
      </c>
      <c r="K71" s="38">
        <f>H71/J71</f>
        <v>157.38912215548615</v>
      </c>
      <c r="L71" s="44">
        <f>Kw/M71</f>
        <v>6.3536792524459913E-11</v>
      </c>
      <c r="M71" s="44">
        <f>Ka1_*H71/J71</f>
        <v>1.5738912215548613E-4</v>
      </c>
      <c r="N71" s="55">
        <f>-LOG10(M71)</f>
        <v>3.8030252869140453</v>
      </c>
      <c r="P71" s="28"/>
      <c r="Q71" s="28"/>
      <c r="R71" s="28"/>
      <c r="S71" s="28"/>
      <c r="T71" s="28"/>
    </row>
    <row r="72" spans="2:20" ht="17.399999999999999" customHeight="1" x14ac:dyDescent="0.3">
      <c r="B72" s="64">
        <v>2</v>
      </c>
      <c r="C72" s="2">
        <v>0.05</v>
      </c>
      <c r="D72" s="2">
        <f t="shared" si="0"/>
        <v>1.5</v>
      </c>
      <c r="E72" s="35">
        <f>(-(I72+Ka1_+Kw^0.5)+((I72+Ka1_+Kw^0.5)^2-4*1*(-Ka1_*G72+I72*Kw^0.5))^0.5)</f>
        <v>3.7642523819053295E-5</v>
      </c>
      <c r="F72" s="34">
        <f>V_HA/(V_HA+D72)</f>
        <v>0.95238095238095233</v>
      </c>
      <c r="G72" s="36">
        <f>(Co_HA-C72*Co_HA)*F72</f>
        <v>9.0476190476190474E-2</v>
      </c>
      <c r="H72" s="37">
        <f t="shared" ref="H72:H93" si="2">G72-E72</f>
        <v>9.0438547952371426E-2</v>
      </c>
      <c r="I72" s="38">
        <f>(C72*Co_HA)*F72</f>
        <v>4.7619047619047623E-3</v>
      </c>
      <c r="J72" s="39">
        <f t="shared" si="1"/>
        <v>4.7995472857238156E-3</v>
      </c>
      <c r="K72" s="38">
        <f t="shared" ref="K72:K95" si="3">H72/J72</f>
        <v>18.843141356556604</v>
      </c>
      <c r="L72" s="44">
        <f>Kw/M72</f>
        <v>5.3069707490786452E-10</v>
      </c>
      <c r="M72" s="44">
        <f>Ka1_*H72/J72</f>
        <v>1.8843141356556603E-5</v>
      </c>
      <c r="N72" s="65">
        <f t="shared" ref="N72:N122" si="4">-LOG10(M72)</f>
        <v>4.7248466938949321</v>
      </c>
      <c r="P72" s="47">
        <f t="shared" ref="P72:P103" si="5">AVERAGE(D71:D72)</f>
        <v>0.75</v>
      </c>
      <c r="Q72" s="47">
        <f t="shared" ref="Q72:Q103" si="6">(N72-N71)/(C72-C71)</f>
        <v>18.436428139617735</v>
      </c>
      <c r="R72" s="48"/>
      <c r="S72" s="48"/>
      <c r="T72" s="48"/>
    </row>
    <row r="73" spans="2:20" ht="17.399999999999999" customHeight="1" x14ac:dyDescent="0.3">
      <c r="B73" s="64">
        <v>3</v>
      </c>
      <c r="C73" s="2">
        <v>0.1</v>
      </c>
      <c r="D73" s="2">
        <f t="shared" si="0"/>
        <v>3</v>
      </c>
      <c r="E73" s="35">
        <f>(-(I73+Ka1_+Kw^0.5)+((I73+Ka1_+Kw^0.5)^2-4*1*(-Ka1_*G73+I73*Kw^0.5))^0.5)</f>
        <v>1.7780460601411405E-5</v>
      </c>
      <c r="F73" s="34">
        <f>V_HA/(V_HA+D73)</f>
        <v>0.90909090909090906</v>
      </c>
      <c r="G73" s="36">
        <f>(Co_HA-C73*Co_HA)*F73</f>
        <v>8.1818181818181818E-2</v>
      </c>
      <c r="H73" s="37">
        <f t="shared" si="2"/>
        <v>8.1800401357580405E-2</v>
      </c>
      <c r="I73" s="38">
        <f>(C73*Co_HA)*F73</f>
        <v>9.0909090909090922E-3</v>
      </c>
      <c r="J73" s="39">
        <f t="shared" si="1"/>
        <v>9.1086895515105036E-3</v>
      </c>
      <c r="K73" s="38">
        <f t="shared" si="3"/>
        <v>8.9804796721846074</v>
      </c>
      <c r="L73" s="44">
        <f>Kw/M73</f>
        <v>1.113526266416834E-9</v>
      </c>
      <c r="M73" s="44">
        <f>Ka1_*H73/J73</f>
        <v>8.9804796721846072E-6</v>
      </c>
      <c r="N73" s="65">
        <f t="shared" si="4"/>
        <v>5.0467004658472447</v>
      </c>
      <c r="P73" s="47">
        <f t="shared" si="5"/>
        <v>2.25</v>
      </c>
      <c r="Q73" s="47">
        <f t="shared" si="6"/>
        <v>6.4370754390462537</v>
      </c>
      <c r="R73" s="48"/>
      <c r="S73" s="47">
        <f>AVERAGE(P72:P73)</f>
        <v>1.5</v>
      </c>
      <c r="T73" s="47">
        <f>(Q73-Q72)/(P73-P72)</f>
        <v>-7.9995684670476548</v>
      </c>
    </row>
    <row r="74" spans="2:20" ht="17.399999999999999" customHeight="1" x14ac:dyDescent="0.3">
      <c r="B74" s="64">
        <v>4</v>
      </c>
      <c r="C74" s="2">
        <v>0.15</v>
      </c>
      <c r="D74" s="2">
        <f t="shared" si="0"/>
        <v>4.5</v>
      </c>
      <c r="E74" s="35">
        <f>(-(I74+Ka1_+Kw^0.5)+((I74+Ka1_+Kw^0.5)^2-4*1*(-Ka1_*G74+I74*Kw^0.5))^0.5)</f>
        <v>1.1127648293659739E-5</v>
      </c>
      <c r="F74" s="34">
        <f>V_HA/(V_HA+D74)</f>
        <v>0.86956521739130432</v>
      </c>
      <c r="G74" s="36">
        <f>(Co_HA-C74*Co_HA)*F74</f>
        <v>7.3913043478260873E-2</v>
      </c>
      <c r="H74" s="37">
        <f t="shared" si="2"/>
        <v>7.3901915829967219E-2</v>
      </c>
      <c r="I74" s="38">
        <f>(C74*Co_HA)*F74</f>
        <v>1.3043478260869565E-2</v>
      </c>
      <c r="J74" s="39">
        <f t="shared" si="1"/>
        <v>1.3054605909163224E-2</v>
      </c>
      <c r="K74" s="38">
        <f t="shared" si="3"/>
        <v>5.6609840499355366</v>
      </c>
      <c r="L74" s="44">
        <f>Kw/M74</f>
        <v>1.7664773318189927E-9</v>
      </c>
      <c r="M74" s="44">
        <f>Ka1_*H74/J74</f>
        <v>5.6609840499355358E-6</v>
      </c>
      <c r="N74" s="65">
        <f t="shared" si="4"/>
        <v>5.2471080687569431</v>
      </c>
      <c r="P74" s="47">
        <f t="shared" si="5"/>
        <v>3.75</v>
      </c>
      <c r="Q74" s="47">
        <f t="shared" si="6"/>
        <v>4.0081520581939687</v>
      </c>
      <c r="R74" s="48"/>
      <c r="S74" s="47">
        <f t="shared" ref="S74:S107" si="7">AVERAGE(P73:P74)</f>
        <v>3</v>
      </c>
      <c r="T74" s="47">
        <f t="shared" ref="T74:T107" si="8">(Q74-Q73)/(P74-P73)</f>
        <v>-1.6192822539015232</v>
      </c>
    </row>
    <row r="75" spans="2:20" ht="17.399999999999999" customHeight="1" x14ac:dyDescent="0.3">
      <c r="B75" s="64">
        <v>5</v>
      </c>
      <c r="C75" s="2">
        <v>0.2</v>
      </c>
      <c r="D75" s="2">
        <f t="shared" si="0"/>
        <v>6</v>
      </c>
      <c r="E75" s="35">
        <f>(-(I75+Ka1_+Kw^0.5)+((I75+Ka1_+Kw^0.5)^2-4*1*(-Ka1_*G75+I75*Kw^0.5))^0.5)</f>
        <v>7.7976612487297425E-6</v>
      </c>
      <c r="F75" s="34">
        <f>V_HA/(V_HA+D75)</f>
        <v>0.83333333333333337</v>
      </c>
      <c r="G75" s="36">
        <f>(Co_HA-C75*Co_HA)*F75</f>
        <v>6.6666666666666666E-2</v>
      </c>
      <c r="H75" s="37">
        <f t="shared" si="2"/>
        <v>6.6658869005417939E-2</v>
      </c>
      <c r="I75" s="38">
        <f>(C75*Co_HA)*F75</f>
        <v>1.666666666666667E-2</v>
      </c>
      <c r="J75" s="39">
        <f t="shared" si="1"/>
        <v>1.66744643279154E-2</v>
      </c>
      <c r="K75" s="38">
        <f t="shared" si="3"/>
        <v>3.9976617955769416</v>
      </c>
      <c r="L75" s="44">
        <f>Kw/M75</f>
        <v>2.5014622325140446E-9</v>
      </c>
      <c r="M75" s="44">
        <f>Ka1_*H75/J75</f>
        <v>3.9976617955769415E-6</v>
      </c>
      <c r="N75" s="65">
        <f t="shared" si="4"/>
        <v>5.3981939502198006</v>
      </c>
      <c r="P75" s="47">
        <f t="shared" si="5"/>
        <v>5.25</v>
      </c>
      <c r="Q75" s="47">
        <f t="shared" si="6"/>
        <v>3.0217176292571493</v>
      </c>
      <c r="R75" s="48"/>
      <c r="S75" s="47">
        <f t="shared" si="7"/>
        <v>4.5</v>
      </c>
      <c r="T75" s="47">
        <f t="shared" si="8"/>
        <v>-0.65762295262454629</v>
      </c>
    </row>
    <row r="76" spans="2:20" ht="17.399999999999999" customHeight="1" x14ac:dyDescent="0.3">
      <c r="B76" s="64">
        <v>6</v>
      </c>
      <c r="C76" s="2">
        <v>0.25</v>
      </c>
      <c r="D76" s="2">
        <f t="shared" si="0"/>
        <v>7.5</v>
      </c>
      <c r="E76" s="35">
        <f>(-(I76+Ka1_+Kw^0.5)+((I76+Ka1_+Kw^0.5)^2-4*1*(-Ka1_*G76+I76*Kw^0.5))^0.5)</f>
        <v>5.7988404000286486E-6</v>
      </c>
      <c r="F76" s="34">
        <f>V_HA/(V_HA+D76)</f>
        <v>0.8</v>
      </c>
      <c r="G76" s="36">
        <f>(Co_HA-C76*Co_HA)*F76</f>
        <v>6.0000000000000012E-2</v>
      </c>
      <c r="H76" s="37">
        <f t="shared" si="2"/>
        <v>5.9994201159599983E-2</v>
      </c>
      <c r="I76" s="38">
        <f>(C76*Co_HA)*F76</f>
        <v>2.0000000000000004E-2</v>
      </c>
      <c r="J76" s="39">
        <f t="shared" si="1"/>
        <v>2.0005798840400033E-2</v>
      </c>
      <c r="K76" s="38">
        <f t="shared" si="3"/>
        <v>2.998840568088025</v>
      </c>
      <c r="L76" s="44">
        <f>Kw/M76</f>
        <v>3.3346220890881556E-9</v>
      </c>
      <c r="M76" s="44">
        <f>Ka1_*H76/J76</f>
        <v>2.9988405680880247E-6</v>
      </c>
      <c r="N76" s="65">
        <f t="shared" si="4"/>
        <v>5.523046622683335</v>
      </c>
      <c r="P76" s="47">
        <f t="shared" si="5"/>
        <v>6.75</v>
      </c>
      <c r="Q76" s="47">
        <f t="shared" si="6"/>
        <v>2.497053449270688</v>
      </c>
      <c r="R76" s="48"/>
      <c r="S76" s="47">
        <f t="shared" si="7"/>
        <v>6</v>
      </c>
      <c r="T76" s="47">
        <f t="shared" si="8"/>
        <v>-0.34977611999097419</v>
      </c>
    </row>
    <row r="77" spans="2:20" ht="17.399999999999999" customHeight="1" x14ac:dyDescent="0.3">
      <c r="B77" s="64">
        <v>7</v>
      </c>
      <c r="C77" s="2">
        <v>0.3</v>
      </c>
      <c r="D77" s="2">
        <f t="shared" si="0"/>
        <v>9</v>
      </c>
      <c r="E77" s="35">
        <f>(-(I77+Ka1_+Kw^0.5)+((I77+Ka1_+Kw^0.5)^2-4*1*(-Ka1_*G77+I77*Kw^0.5))^0.5)</f>
        <v>4.4660216370687178E-6</v>
      </c>
      <c r="F77" s="34">
        <f>V_HA/(V_HA+D77)</f>
        <v>0.76923076923076927</v>
      </c>
      <c r="G77" s="36">
        <f>(Co_HA-C77*Co_HA)*F77</f>
        <v>5.3846153846153856E-2</v>
      </c>
      <c r="H77" s="37">
        <f t="shared" si="2"/>
        <v>5.3841687824516787E-2</v>
      </c>
      <c r="I77" s="38">
        <f>(C77*Co_HA)*F77</f>
        <v>2.3076923076923078E-2</v>
      </c>
      <c r="J77" s="39">
        <f t="shared" si="1"/>
        <v>2.3081389098560147E-2</v>
      </c>
      <c r="K77" s="38">
        <f t="shared" si="3"/>
        <v>2.3326883661380466</v>
      </c>
      <c r="L77" s="44">
        <f>Kw/M77</f>
        <v>4.2868992468787447E-9</v>
      </c>
      <c r="M77" s="44">
        <f>Ka1_*H77/J77</f>
        <v>2.3326883661380461E-6</v>
      </c>
      <c r="N77" s="65">
        <f t="shared" si="4"/>
        <v>5.6321432765969899</v>
      </c>
      <c r="P77" s="47">
        <f t="shared" si="5"/>
        <v>8.25</v>
      </c>
      <c r="Q77" s="47">
        <f t="shared" si="6"/>
        <v>2.1819330782730977</v>
      </c>
      <c r="R77" s="48"/>
      <c r="S77" s="47">
        <f t="shared" si="7"/>
        <v>7.5</v>
      </c>
      <c r="T77" s="47">
        <f t="shared" si="8"/>
        <v>-0.21008024733172684</v>
      </c>
    </row>
    <row r="78" spans="2:20" ht="17.399999999999999" customHeight="1" x14ac:dyDescent="0.3">
      <c r="B78" s="64">
        <v>8</v>
      </c>
      <c r="C78" s="2">
        <v>0.35</v>
      </c>
      <c r="D78" s="2">
        <f t="shared" si="0"/>
        <v>10.5</v>
      </c>
      <c r="E78" s="35">
        <f>(-(I78+Ka1_+Kw^0.5)+((I78+Ka1_+Kw^0.5)^2-4*1*(-Ka1_*G78+I78*Kw^0.5))^0.5)</f>
        <v>3.5138984945705387E-6</v>
      </c>
      <c r="F78" s="34">
        <f>V_HA/(V_HA+D78)</f>
        <v>0.7407407407407407</v>
      </c>
      <c r="G78" s="36">
        <f>(Co_HA-C78*Co_HA)*F78</f>
        <v>4.8148148148148148E-2</v>
      </c>
      <c r="H78" s="37">
        <f t="shared" si="2"/>
        <v>4.8144634249653581E-2</v>
      </c>
      <c r="I78" s="38">
        <f>(C78*Co_HA)*F78</f>
        <v>2.5925925925925922E-2</v>
      </c>
      <c r="J78" s="39">
        <f t="shared" si="1"/>
        <v>2.5929439824420492E-2</v>
      </c>
      <c r="K78" s="38">
        <f t="shared" si="3"/>
        <v>1.8567556636650011</v>
      </c>
      <c r="L78" s="44">
        <f>Kw/M78</f>
        <v>5.3857382506975981E-9</v>
      </c>
      <c r="M78" s="44">
        <f>Ka1_*H78/J78</f>
        <v>1.8567556636650011E-6</v>
      </c>
      <c r="N78" s="65">
        <f t="shared" si="4"/>
        <v>5.7312452426811378</v>
      </c>
      <c r="P78" s="47">
        <f t="shared" si="5"/>
        <v>9.75</v>
      </c>
      <c r="Q78" s="47">
        <f t="shared" si="6"/>
        <v>1.9820393216829584</v>
      </c>
      <c r="R78" s="48"/>
      <c r="S78" s="47">
        <f t="shared" si="7"/>
        <v>9</v>
      </c>
      <c r="T78" s="47">
        <f t="shared" si="8"/>
        <v>-0.13326250439342621</v>
      </c>
    </row>
    <row r="79" spans="2:20" ht="17.399999999999999" customHeight="1" x14ac:dyDescent="0.3">
      <c r="B79" s="64">
        <v>9</v>
      </c>
      <c r="C79" s="2">
        <v>0.4</v>
      </c>
      <c r="D79" s="2">
        <f t="shared" si="0"/>
        <v>12</v>
      </c>
      <c r="E79" s="35">
        <f>(-(I79+Ka1_+Kw^0.5)+((I79+Ka1_+Kw^0.5)^2-4*1*(-Ka1_*G79+I79*Kw^0.5))^0.5)</f>
        <v>2.7997550334363241E-6</v>
      </c>
      <c r="F79" s="34">
        <f>V_HA/(V_HA+D79)</f>
        <v>0.7142857142857143</v>
      </c>
      <c r="G79" s="36">
        <f>(Co_HA-C79*Co_HA)*F79</f>
        <v>4.2857142857142858E-2</v>
      </c>
      <c r="H79" s="37">
        <f t="shared" si="2"/>
        <v>4.2854343102109421E-2</v>
      </c>
      <c r="I79" s="38">
        <f>(C79*Co_HA)*F79</f>
        <v>2.8571428571428577E-2</v>
      </c>
      <c r="J79" s="39">
        <f t="shared" si="1"/>
        <v>2.8574228326462014E-2</v>
      </c>
      <c r="K79" s="38">
        <f t="shared" si="3"/>
        <v>1.4997550454380209</v>
      </c>
      <c r="L79" s="44">
        <f>Kw/M79</f>
        <v>6.6677555314237233E-9</v>
      </c>
      <c r="M79" s="44">
        <f>Ka1_*H79/J79</f>
        <v>1.4997550454380208E-6</v>
      </c>
      <c r="N79" s="65">
        <f t="shared" si="4"/>
        <v>5.8239796683455296</v>
      </c>
      <c r="P79" s="47">
        <f t="shared" si="5"/>
        <v>11.25</v>
      </c>
      <c r="Q79" s="47">
        <f t="shared" si="6"/>
        <v>1.854688513287835</v>
      </c>
      <c r="R79" s="48"/>
      <c r="S79" s="47">
        <f t="shared" si="7"/>
        <v>10.5</v>
      </c>
      <c r="T79" s="47">
        <f t="shared" si="8"/>
        <v>-8.4900538930082245E-2</v>
      </c>
    </row>
    <row r="80" spans="2:20" ht="17.399999999999999" customHeight="1" x14ac:dyDescent="0.3">
      <c r="B80" s="64">
        <v>10</v>
      </c>
      <c r="C80" s="2">
        <v>0.45</v>
      </c>
      <c r="D80" s="2">
        <f t="shared" si="0"/>
        <v>13.5</v>
      </c>
      <c r="E80" s="35">
        <f>(-(I80+Ka1_+Kw^0.5)+((I80+Ka1_+Kw^0.5)^2-4*1*(-Ka1_*G80+I80*Kw^0.5))^0.5)</f>
        <v>2.244283748453757E-6</v>
      </c>
      <c r="F80" s="34">
        <f>V_HA/(V_HA+D80)</f>
        <v>0.68965517241379315</v>
      </c>
      <c r="G80" s="36">
        <f>(Co_HA-C80*Co_HA)*F80</f>
        <v>3.793103448275862E-2</v>
      </c>
      <c r="H80" s="37">
        <f t="shared" si="2"/>
        <v>3.7928790199010166E-2</v>
      </c>
      <c r="I80" s="38">
        <f>(C80*Co_HA)*F80</f>
        <v>3.1034482758620696E-2</v>
      </c>
      <c r="J80" s="39">
        <f t="shared" si="1"/>
        <v>3.103672704236915E-2</v>
      </c>
      <c r="K80" s="38">
        <f t="shared" si="3"/>
        <v>1.2220615320433903</v>
      </c>
      <c r="L80" s="44">
        <f>Kw/M80</f>
        <v>8.1828940178479823E-9</v>
      </c>
      <c r="M80" s="44">
        <f>Ka1_*H80/J80</f>
        <v>1.2220615320433905E-6</v>
      </c>
      <c r="N80" s="65">
        <f t="shared" si="4"/>
        <v>5.9129069263732292</v>
      </c>
      <c r="P80" s="47">
        <f t="shared" si="5"/>
        <v>12.75</v>
      </c>
      <c r="Q80" s="47">
        <f t="shared" si="6"/>
        <v>1.778545160553993</v>
      </c>
      <c r="R80" s="48"/>
      <c r="S80" s="47">
        <f t="shared" si="7"/>
        <v>12</v>
      </c>
      <c r="T80" s="47">
        <f t="shared" si="8"/>
        <v>-5.0762235155894654E-2</v>
      </c>
    </row>
    <row r="81" spans="2:25" ht="17.399999999999999" customHeight="1" x14ac:dyDescent="0.3">
      <c r="B81" s="64">
        <v>11</v>
      </c>
      <c r="C81" s="2">
        <v>0.5</v>
      </c>
      <c r="D81" s="2">
        <f t="shared" si="0"/>
        <v>15</v>
      </c>
      <c r="E81" s="35">
        <f>(-(I81+Ka1_+Kw^0.5)+((I81+Ka1_+Kw^0.5)^2-4*1*(-Ka1_*G81+I81*Kw^0.5))^0.5)</f>
        <v>1.7998920093936777E-6</v>
      </c>
      <c r="F81" s="34">
        <f>V_HA/(V_HA+D81)</f>
        <v>0.66666666666666663</v>
      </c>
      <c r="G81" s="36">
        <f>(Co_HA-C81*Co_HA)*F81</f>
        <v>3.3333333333333333E-2</v>
      </c>
      <c r="H81" s="37">
        <f t="shared" si="2"/>
        <v>3.3331533441323939E-2</v>
      </c>
      <c r="I81" s="38">
        <f>(C81*Co_HA)*F81</f>
        <v>3.3333333333333333E-2</v>
      </c>
      <c r="J81" s="39">
        <f t="shared" si="1"/>
        <v>3.3335133225342727E-2</v>
      </c>
      <c r="K81" s="38">
        <f t="shared" si="3"/>
        <v>0.9998920123104218</v>
      </c>
      <c r="L81" s="44">
        <f>Kw/M81</f>
        <v>1.0001079993521788E-8</v>
      </c>
      <c r="M81" s="44">
        <f>Ka1_*H81/J81</f>
        <v>9.9989201231042167E-7</v>
      </c>
      <c r="N81" s="65">
        <f t="shared" si="4"/>
        <v>6.0000469009901076</v>
      </c>
      <c r="P81" s="47">
        <f t="shared" si="5"/>
        <v>14.25</v>
      </c>
      <c r="Q81" s="47">
        <f t="shared" si="6"/>
        <v>1.7427994923375683</v>
      </c>
      <c r="R81" s="48"/>
      <c r="S81" s="47">
        <f t="shared" si="7"/>
        <v>13.5</v>
      </c>
      <c r="T81" s="47">
        <f t="shared" si="8"/>
        <v>-2.3830445477616518E-2</v>
      </c>
    </row>
    <row r="82" spans="2:25" ht="17.399999999999999" customHeight="1" x14ac:dyDescent="0.3">
      <c r="B82" s="64">
        <v>12</v>
      </c>
      <c r="C82" s="2">
        <v>0.55000000000000004</v>
      </c>
      <c r="D82" s="2">
        <f t="shared" si="0"/>
        <v>16.5</v>
      </c>
      <c r="E82" s="35">
        <f>(-(I82+Ka1_+Kw^0.5)+((I82+Ka1_+Kw^0.5)^2-4*1*(-Ka1_*G82+I82*Kw^0.5))^0.5)</f>
        <v>1.4362900428235847E-6</v>
      </c>
      <c r="F82" s="34">
        <f>V_HA/(V_HA+D82)</f>
        <v>0.64516129032258063</v>
      </c>
      <c r="G82" s="36">
        <f>(Co_HA-C82*Co_HA)*F82</f>
        <v>2.9032258064516127E-2</v>
      </c>
      <c r="H82" s="37">
        <f t="shared" si="2"/>
        <v>2.9030821774473303E-2</v>
      </c>
      <c r="I82" s="38">
        <f>(C82*Co_HA)*F82</f>
        <v>3.5483870967741936E-2</v>
      </c>
      <c r="J82" s="39">
        <f t="shared" si="1"/>
        <v>3.5485307257784759E-2</v>
      </c>
      <c r="K82" s="38">
        <f t="shared" si="3"/>
        <v>0.81810822613363532</v>
      </c>
      <c r="L82" s="44">
        <f>Kw/M82</f>
        <v>1.2223321659115714E-8</v>
      </c>
      <c r="M82" s="44">
        <f>Ka1_*H82/J82</f>
        <v>8.1810822613363526E-7</v>
      </c>
      <c r="N82" s="65">
        <f t="shared" si="4"/>
        <v>6.0871892404563166</v>
      </c>
      <c r="P82" s="47">
        <f t="shared" si="5"/>
        <v>15.75</v>
      </c>
      <c r="Q82" s="47">
        <f t="shared" si="6"/>
        <v>1.7428467893241779</v>
      </c>
      <c r="R82" s="48"/>
      <c r="S82" s="47">
        <f t="shared" si="7"/>
        <v>15</v>
      </c>
      <c r="T82" s="47">
        <f t="shared" si="8"/>
        <v>3.1531324406438209E-5</v>
      </c>
    </row>
    <row r="83" spans="2:25" ht="17.399999999999999" customHeight="1" x14ac:dyDescent="0.3">
      <c r="B83" s="64">
        <v>13</v>
      </c>
      <c r="C83" s="2">
        <v>0.6</v>
      </c>
      <c r="D83" s="2">
        <f t="shared" si="0"/>
        <v>18</v>
      </c>
      <c r="E83" s="35">
        <f>(-(I83+Ka1_+Kw^0.5)+((I83+Ka1_+Kw^0.5)^2-4*1*(-Ka1_*G83+I83*Kw^0.5))^0.5)</f>
        <v>1.1332829659635446E-6</v>
      </c>
      <c r="F83" s="34">
        <f>V_HA/(V_HA+D83)</f>
        <v>0.625</v>
      </c>
      <c r="G83" s="36">
        <f>(Co_HA-C83*Co_HA)*F83</f>
        <v>2.5000000000000005E-2</v>
      </c>
      <c r="H83" s="37">
        <f t="shared" si="2"/>
        <v>2.4998866717034041E-2</v>
      </c>
      <c r="I83" s="38">
        <f>(C83*Co_HA)*F83</f>
        <v>3.7499999999999999E-2</v>
      </c>
      <c r="J83" s="39">
        <f t="shared" si="1"/>
        <v>3.7501133282965962E-2</v>
      </c>
      <c r="K83" s="38">
        <f t="shared" si="3"/>
        <v>0.66661630005696948</v>
      </c>
      <c r="L83" s="44">
        <f>Kw/M83</f>
        <v>1.5001133334341499E-8</v>
      </c>
      <c r="M83" s="44">
        <f>Ka1_*H83/J83</f>
        <v>6.6661630005696947E-7</v>
      </c>
      <c r="N83" s="65">
        <f t="shared" si="4"/>
        <v>6.1761240712061696</v>
      </c>
      <c r="P83" s="47">
        <f t="shared" si="5"/>
        <v>17.25</v>
      </c>
      <c r="Q83" s="47">
        <f t="shared" si="6"/>
        <v>1.778696614997062</v>
      </c>
      <c r="R83" s="48"/>
      <c r="S83" s="47">
        <f t="shared" si="7"/>
        <v>16.5</v>
      </c>
      <c r="T83" s="47">
        <f t="shared" si="8"/>
        <v>2.3899883781922721E-2</v>
      </c>
    </row>
    <row r="84" spans="2:25" ht="17.399999999999999" customHeight="1" x14ac:dyDescent="0.3">
      <c r="B84" s="64">
        <v>14</v>
      </c>
      <c r="C84" s="2">
        <v>0.65</v>
      </c>
      <c r="D84" s="2">
        <f t="shared" si="0"/>
        <v>19.5</v>
      </c>
      <c r="E84" s="35">
        <f>(-(I84+Ka1_+Kw^0.5)+((I84+Ka1_+Kw^0.5)^2-4*1*(-Ka1_*G84+I84*Kw^0.5))^0.5)</f>
        <v>8.7688883194242395E-7</v>
      </c>
      <c r="F84" s="34">
        <f>V_HA/(V_HA+D84)</f>
        <v>0.60606060606060608</v>
      </c>
      <c r="G84" s="36">
        <f>(Co_HA-C84*Co_HA)*F84</f>
        <v>2.1212121212121213E-2</v>
      </c>
      <c r="H84" s="37">
        <f t="shared" si="2"/>
        <v>2.1211244323289271E-2</v>
      </c>
      <c r="I84" s="38">
        <f>(C84*Co_HA)*F84</f>
        <v>3.9393939393939398E-2</v>
      </c>
      <c r="J84" s="39">
        <f t="shared" si="1"/>
        <v>3.939481628277134E-2</v>
      </c>
      <c r="K84" s="38">
        <f t="shared" si="3"/>
        <v>0.53842729386113808</v>
      </c>
      <c r="L84" s="44">
        <f>Kw/M84</f>
        <v>1.8572609735826334E-8</v>
      </c>
      <c r="M84" s="44">
        <f>Ka1_*H84/J84</f>
        <v>5.3842729386113807E-7</v>
      </c>
      <c r="N84" s="65">
        <f t="shared" si="4"/>
        <v>6.2688729330470112</v>
      </c>
      <c r="P84" s="47">
        <f t="shared" si="5"/>
        <v>18.75</v>
      </c>
      <c r="Q84" s="47">
        <f t="shared" si="6"/>
        <v>1.8549772368168311</v>
      </c>
      <c r="R84" s="48"/>
      <c r="S84" s="47">
        <f t="shared" si="7"/>
        <v>18</v>
      </c>
      <c r="T84" s="47">
        <f t="shared" si="8"/>
        <v>5.085374787984609E-2</v>
      </c>
    </row>
    <row r="85" spans="2:25" ht="17.399999999999999" customHeight="1" x14ac:dyDescent="0.3">
      <c r="B85" s="64">
        <v>15</v>
      </c>
      <c r="C85" s="2">
        <v>0.7</v>
      </c>
      <c r="D85" s="2">
        <f t="shared" si="0"/>
        <v>21</v>
      </c>
      <c r="E85" s="35">
        <f>(-(I85+Ka1_+Kw^0.5)+((I85+Ka1_+Kw^0.5)^2-4*1*(-Ka1_*G85+I85*Kw^0.5))^0.5)</f>
        <v>6.5712005928308947E-7</v>
      </c>
      <c r="F85" s="34">
        <f>V_HA/(V_HA+D85)</f>
        <v>0.58823529411764708</v>
      </c>
      <c r="G85" s="36">
        <f>(Co_HA-C85*Co_HA)*F85</f>
        <v>1.7647058823529418E-2</v>
      </c>
      <c r="H85" s="37">
        <f t="shared" si="2"/>
        <v>1.7646401703470135E-2</v>
      </c>
      <c r="I85" s="38">
        <f>(C85*Co_HA)*F85</f>
        <v>4.1176470588235294E-2</v>
      </c>
      <c r="J85" s="39">
        <f t="shared" si="1"/>
        <v>4.1177127708294577E-2</v>
      </c>
      <c r="K85" s="38">
        <f t="shared" si="3"/>
        <v>0.42854863089237538</v>
      </c>
      <c r="L85" s="44">
        <f>Kw/M85</f>
        <v>2.3334574606333011E-8</v>
      </c>
      <c r="M85" s="44">
        <f>Ka1_*H85/J85</f>
        <v>4.2854863089237533E-7</v>
      </c>
      <c r="N85" s="65">
        <f t="shared" si="4"/>
        <v>6.3679998880235669</v>
      </c>
      <c r="P85" s="47">
        <f t="shared" si="5"/>
        <v>20.25</v>
      </c>
      <c r="Q85" s="47">
        <f t="shared" si="6"/>
        <v>1.9825390995311158</v>
      </c>
      <c r="R85" s="48"/>
      <c r="S85" s="47">
        <f t="shared" si="7"/>
        <v>19.5</v>
      </c>
      <c r="T85" s="47">
        <f t="shared" si="8"/>
        <v>8.5041241809523146E-2</v>
      </c>
    </row>
    <row r="86" spans="2:25" ht="17.399999999999999" customHeight="1" x14ac:dyDescent="0.3">
      <c r="B86" s="64">
        <v>16</v>
      </c>
      <c r="C86" s="2">
        <v>0.75</v>
      </c>
      <c r="D86" s="2">
        <f t="shared" si="0"/>
        <v>22.5</v>
      </c>
      <c r="E86" s="35">
        <f>(-(I86+Ka1_+Kw^0.5)+((I86+Ka1_+Kw^0.5)^2-4*1*(-Ka1_*G86+I86*Kw^0.5))^0.5)</f>
        <v>4.6665214867985805E-7</v>
      </c>
      <c r="F86" s="34">
        <f>V_HA/(V_HA+D86)</f>
        <v>0.5714285714285714</v>
      </c>
      <c r="G86" s="36">
        <f>(Co_HA-C86*Co_HA)*F86</f>
        <v>1.4285714285714282E-2</v>
      </c>
      <c r="H86" s="37">
        <f t="shared" si="2"/>
        <v>1.4285247633565602E-2</v>
      </c>
      <c r="I86" s="38">
        <f>(C86*Co_HA)*F86</f>
        <v>4.2857142857142864E-2</v>
      </c>
      <c r="J86" s="39">
        <f t="shared" si="1"/>
        <v>4.2857609509291544E-2</v>
      </c>
      <c r="K86" s="38">
        <f t="shared" si="3"/>
        <v>0.33331881542456432</v>
      </c>
      <c r="L86" s="44">
        <f>Kw/M86</f>
        <v>3.0001306668699501E-8</v>
      </c>
      <c r="M86" s="44">
        <f>Ka1_*H86/J86</f>
        <v>3.3331881542456432E-7</v>
      </c>
      <c r="N86" s="65">
        <f t="shared" si="4"/>
        <v>6.4771401702745885</v>
      </c>
      <c r="P86" s="47">
        <f t="shared" si="5"/>
        <v>21.75</v>
      </c>
      <c r="Q86" s="47">
        <f t="shared" si="6"/>
        <v>2.1828056450204318</v>
      </c>
      <c r="R86" s="48"/>
      <c r="S86" s="47">
        <f t="shared" si="7"/>
        <v>21</v>
      </c>
      <c r="T86" s="47">
        <f t="shared" si="8"/>
        <v>0.13351103032621067</v>
      </c>
      <c r="Y86" s="15"/>
    </row>
    <row r="87" spans="2:25" ht="17.399999999999999" customHeight="1" x14ac:dyDescent="0.3">
      <c r="B87" s="64">
        <v>17</v>
      </c>
      <c r="C87" s="2">
        <v>0.8</v>
      </c>
      <c r="D87" s="2">
        <f t="shared" si="0"/>
        <v>24</v>
      </c>
      <c r="E87" s="35">
        <f>(-(I87+Ka1_+Kw^0.5)+((I87+Ka1_+Kw^0.5)^2-4*1*(-Ka1_*G87+I87*Kw^0.5))^0.5)</f>
        <v>2.9999156276466765E-7</v>
      </c>
      <c r="F87" s="34">
        <f>V_HA/(V_HA+D87)</f>
        <v>0.55555555555555558</v>
      </c>
      <c r="G87" s="36">
        <f>(Co_HA-C87*Co_HA)*F87</f>
        <v>1.1111111111111106E-2</v>
      </c>
      <c r="H87" s="37">
        <f t="shared" si="2"/>
        <v>1.1110811119548342E-2</v>
      </c>
      <c r="I87" s="38">
        <f>(C87*Co_HA)*F87</f>
        <v>4.4444444444444453E-2</v>
      </c>
      <c r="J87" s="39">
        <f t="shared" si="1"/>
        <v>4.4444744436007218E-2</v>
      </c>
      <c r="K87" s="38">
        <f t="shared" si="3"/>
        <v>0.24999156279424661</v>
      </c>
      <c r="L87" s="44">
        <f>Kw/M87</f>
        <v>4.0001349998481397E-8</v>
      </c>
      <c r="M87" s="44">
        <f>Ka1_*H87/J87</f>
        <v>2.4999156279424663E-7</v>
      </c>
      <c r="N87" s="65">
        <f t="shared" si="4"/>
        <v>6.6020746485029003</v>
      </c>
      <c r="P87" s="47">
        <f t="shared" si="5"/>
        <v>23.25</v>
      </c>
      <c r="Q87" s="47">
        <f t="shared" si="6"/>
        <v>2.4986895645662321</v>
      </c>
      <c r="R87" s="48"/>
      <c r="S87" s="47">
        <f t="shared" si="7"/>
        <v>22.5</v>
      </c>
      <c r="T87" s="47">
        <f t="shared" si="8"/>
        <v>0.2105892796972002</v>
      </c>
    </row>
    <row r="88" spans="2:25" ht="17.399999999999999" customHeight="1" x14ac:dyDescent="0.3">
      <c r="B88" s="64">
        <v>18</v>
      </c>
      <c r="C88" s="2">
        <v>0.85</v>
      </c>
      <c r="D88" s="2">
        <f t="shared" si="0"/>
        <v>25.5</v>
      </c>
      <c r="E88" s="35">
        <f>(-(I88+Ka1_+Kw^0.5)+((I88+Ka1_+Kw^0.5)^2-4*1*(-Ka1_*G88+I88*Kw^0.5))^0.5)</f>
        <v>1.5293726043918987E-7</v>
      </c>
      <c r="F88" s="34">
        <f>V_HA/(V_HA+D88)</f>
        <v>0.54054054054054057</v>
      </c>
      <c r="G88" s="36">
        <f>(Co_HA-C88*Co_HA)*F88</f>
        <v>8.1081081081081086E-3</v>
      </c>
      <c r="H88" s="37">
        <f t="shared" si="2"/>
        <v>8.1079551708476694E-3</v>
      </c>
      <c r="I88" s="38">
        <f>(C88*Co_HA)*F88</f>
        <v>4.5945945945945948E-2</v>
      </c>
      <c r="J88" s="39">
        <f t="shared" si="1"/>
        <v>4.5946098883206388E-2</v>
      </c>
      <c r="K88" s="38">
        <f t="shared" si="3"/>
        <v>0.17646667220775042</v>
      </c>
      <c r="L88" s="44">
        <f>Kw/M88</f>
        <v>5.666792417452751E-8</v>
      </c>
      <c r="M88" s="44">
        <f>Ka1_*H88/J88</f>
        <v>1.7646667220775038E-7</v>
      </c>
      <c r="N88" s="65">
        <f t="shared" si="4"/>
        <v>6.7533373041174114</v>
      </c>
      <c r="P88" s="47">
        <f t="shared" si="5"/>
        <v>24.75</v>
      </c>
      <c r="Q88" s="47">
        <f t="shared" si="6"/>
        <v>3.0252531122902266</v>
      </c>
      <c r="R88" s="48"/>
      <c r="S88" s="47">
        <f t="shared" si="7"/>
        <v>24</v>
      </c>
      <c r="T88" s="47">
        <f t="shared" si="8"/>
        <v>0.35104236514932968</v>
      </c>
    </row>
    <row r="89" spans="2:25" ht="17.399999999999999" customHeight="1" x14ac:dyDescent="0.3">
      <c r="B89" s="64">
        <v>19</v>
      </c>
      <c r="C89" s="2">
        <v>0.9</v>
      </c>
      <c r="D89" s="2">
        <f t="shared" si="0"/>
        <v>27</v>
      </c>
      <c r="E89" s="35">
        <f>(-(I89+Ka1_+Kw^0.5)+((I89+Ka1_+Kw^0.5)^2-4*1*(-Ka1_*G89+I89*Kw^0.5))^0.5)</f>
        <v>2.2221700972380187E-8</v>
      </c>
      <c r="F89" s="34">
        <f>V_HA/(V_HA+D89)</f>
        <v>0.52631578947368418</v>
      </c>
      <c r="G89" s="36">
        <f>(Co_HA-C89*Co_HA)*F89</f>
        <v>5.2631578947368394E-3</v>
      </c>
      <c r="H89" s="37">
        <f t="shared" si="2"/>
        <v>5.263135673035867E-3</v>
      </c>
      <c r="I89" s="38">
        <f>(C89*Co_HA)*F89</f>
        <v>4.736842105263158E-2</v>
      </c>
      <c r="J89" s="39">
        <f t="shared" si="1"/>
        <v>4.7368443274332553E-2</v>
      </c>
      <c r="K89" s="38">
        <f t="shared" si="3"/>
        <v>0.11111058986157969</v>
      </c>
      <c r="L89" s="44">
        <f>Kw/M89</f>
        <v>9.0000422214101164E-8</v>
      </c>
      <c r="M89" s="44">
        <f>Ka1_*H89/J89</f>
        <v>1.1111058986157968E-7</v>
      </c>
      <c r="N89" s="65">
        <f t="shared" si="4"/>
        <v>6.9542445468262608</v>
      </c>
      <c r="P89" s="47">
        <f t="shared" si="5"/>
        <v>26.25</v>
      </c>
      <c r="Q89" s="47">
        <f t="shared" si="6"/>
        <v>4.0181448541769846</v>
      </c>
      <c r="R89" s="48"/>
      <c r="S89" s="47">
        <f t="shared" si="7"/>
        <v>25.5</v>
      </c>
      <c r="T89" s="47">
        <f t="shared" si="8"/>
        <v>0.66192782792450533</v>
      </c>
    </row>
    <row r="90" spans="2:25" ht="17.399999999999999" customHeight="1" x14ac:dyDescent="0.3">
      <c r="B90" s="64">
        <v>20</v>
      </c>
      <c r="C90" s="2">
        <v>0.93</v>
      </c>
      <c r="D90" s="2">
        <f t="shared" si="0"/>
        <v>27.900000000000002</v>
      </c>
      <c r="E90" s="35">
        <f>(-(I90+Ka1_+Kw^0.5)+((I90+Ka1_+Kw^0.5)^2-4*1*(-Ka1_*G90+I90*Kw^0.5))^0.5)</f>
        <v>-4.9461261877881135E-8</v>
      </c>
      <c r="F90" s="34">
        <f>V_HA/(V_HA+D90)</f>
        <v>0.51813471502590669</v>
      </c>
      <c r="G90" s="36">
        <f>(Co_HA-C90*Co_HA)*F90</f>
        <v>3.6269430051813429E-3</v>
      </c>
      <c r="H90" s="37">
        <f t="shared" si="2"/>
        <v>3.6269924664432207E-3</v>
      </c>
      <c r="I90" s="38">
        <f>(C90*Co_HA)*F90</f>
        <v>4.8186528497409328E-2</v>
      </c>
      <c r="J90" s="39">
        <f t="shared" si="1"/>
        <v>4.818647903614745E-2</v>
      </c>
      <c r="K90" s="38">
        <f t="shared" si="3"/>
        <v>7.5269920919567607E-2</v>
      </c>
      <c r="L90" s="44">
        <f>Kw/M90</f>
        <v>1.3285519471564027E-7</v>
      </c>
      <c r="M90" s="44">
        <f>Ka1_*H90/J90</f>
        <v>7.5269920919567607E-8</v>
      </c>
      <c r="N90" s="65">
        <f t="shared" si="4"/>
        <v>7.1233785402459642</v>
      </c>
      <c r="P90" s="47">
        <f t="shared" si="5"/>
        <v>27.450000000000003</v>
      </c>
      <c r="Q90" s="47">
        <f t="shared" si="6"/>
        <v>5.6377997806567741</v>
      </c>
      <c r="R90" s="48"/>
      <c r="S90" s="47">
        <f t="shared" si="7"/>
        <v>26.85</v>
      </c>
      <c r="T90" s="47">
        <f t="shared" si="8"/>
        <v>1.3497124387331547</v>
      </c>
    </row>
    <row r="91" spans="2:25" ht="17.399999999999999" customHeight="1" x14ac:dyDescent="0.3">
      <c r="B91" s="64">
        <v>21</v>
      </c>
      <c r="C91" s="2">
        <v>0.95</v>
      </c>
      <c r="D91" s="2">
        <f t="shared" si="0"/>
        <v>28.5</v>
      </c>
      <c r="E91" s="35">
        <f>(-(I91+Ka1_+Kw^0.5)+((I91+Ka1_+Kw^0.5)^2-4*1*(-Ka1_*G91+I91*Kw^0.5))^0.5)</f>
        <v>-9.4734795196005361E-8</v>
      </c>
      <c r="F91" s="34">
        <f>V_HA/(V_HA+D91)</f>
        <v>0.51282051282051277</v>
      </c>
      <c r="G91" s="36">
        <f>(Co_HA-C91*Co_HA)*F91</f>
        <v>2.5641025641025663E-3</v>
      </c>
      <c r="H91" s="37">
        <f t="shared" si="2"/>
        <v>2.5641972988977623E-3</v>
      </c>
      <c r="I91" s="38">
        <f>(C91*Co_HA)*F91</f>
        <v>4.8717948717948711E-2</v>
      </c>
      <c r="J91" s="39">
        <f t="shared" si="1"/>
        <v>4.8717853983153515E-2</v>
      </c>
      <c r="K91" s="38">
        <f t="shared" si="3"/>
        <v>5.263362585274084E-2</v>
      </c>
      <c r="L91" s="44">
        <f>Kw/M91</f>
        <v>1.8999261095897424E-7</v>
      </c>
      <c r="M91" s="44">
        <f>Ka1_*H91/J91</f>
        <v>5.263362585274084E-8</v>
      </c>
      <c r="N91" s="65">
        <f t="shared" si="4"/>
        <v>7.2787367110468049</v>
      </c>
      <c r="P91" s="47">
        <f t="shared" si="5"/>
        <v>28.200000000000003</v>
      </c>
      <c r="Q91" s="47">
        <f t="shared" si="6"/>
        <v>7.7679085400420709</v>
      </c>
      <c r="R91" s="48"/>
      <c r="S91" s="47">
        <f t="shared" si="7"/>
        <v>27.825000000000003</v>
      </c>
      <c r="T91" s="47">
        <f t="shared" si="8"/>
        <v>2.8401450125137289</v>
      </c>
    </row>
    <row r="92" spans="2:25" ht="17.399999999999999" customHeight="1" x14ac:dyDescent="0.3">
      <c r="B92" s="64">
        <v>22</v>
      </c>
      <c r="C92" s="2">
        <v>0.97</v>
      </c>
      <c r="D92" s="2">
        <f t="shared" si="0"/>
        <v>29.099999999999998</v>
      </c>
      <c r="E92" s="35">
        <f>(-(I92+Ka1_+Kw^0.5)+((I92+Ka1_+Kw^0.5)^2-4*1*(-Ka1_*G92+I92*Kw^0.5))^0.5)</f>
        <v>-1.3814143757368003E-7</v>
      </c>
      <c r="F92" s="34">
        <f>V_HA/(V_HA+D92)</f>
        <v>0.50761421319796962</v>
      </c>
      <c r="G92" s="36">
        <f>(Co_HA-C92*Co_HA)*F92</f>
        <v>1.5228426395939101E-3</v>
      </c>
      <c r="H92" s="37">
        <f t="shared" si="2"/>
        <v>1.5229807810314838E-3</v>
      </c>
      <c r="I92" s="38">
        <f>(C92*Co_HA)*F92</f>
        <v>4.9238578680203052E-2</v>
      </c>
      <c r="J92" s="39">
        <f t="shared" si="1"/>
        <v>4.9238440538765478E-2</v>
      </c>
      <c r="K92" s="38">
        <f t="shared" si="3"/>
        <v>3.093072738224598E-2</v>
      </c>
      <c r="L92" s="44">
        <f>Kw/M92</f>
        <v>3.2330309845024635E-7</v>
      </c>
      <c r="M92" s="44">
        <f>Ka1_*H92/J92</f>
        <v>3.0930727382245974E-8</v>
      </c>
      <c r="N92" s="65">
        <f t="shared" si="4"/>
        <v>7.5096098667934186</v>
      </c>
      <c r="P92" s="47">
        <f t="shared" si="5"/>
        <v>28.799999999999997</v>
      </c>
      <c r="Q92" s="47">
        <f t="shared" si="6"/>
        <v>11.543657787330675</v>
      </c>
      <c r="R92" s="48"/>
      <c r="S92" s="47">
        <f t="shared" si="7"/>
        <v>28.5</v>
      </c>
      <c r="T92" s="47">
        <f t="shared" si="8"/>
        <v>6.2929154121477326</v>
      </c>
    </row>
    <row r="93" spans="2:25" ht="17.399999999999999" customHeight="1" x14ac:dyDescent="0.3">
      <c r="B93" s="64">
        <v>23</v>
      </c>
      <c r="C93" s="2">
        <v>0.99</v>
      </c>
      <c r="D93" s="2">
        <f t="shared" si="0"/>
        <v>29.7</v>
      </c>
      <c r="E93" s="35">
        <f>(-(I93+Ka1_+Kw^0.5)+((I93+Ka1_+Kw^0.5)^2-4*1*(-Ka1_*G93+I93*Kw^0.5))^0.5)</f>
        <v>-1.7979432923725946E-7</v>
      </c>
      <c r="F93" s="34">
        <f>V_HA/(V_HA+D93)</f>
        <v>0.50251256281407031</v>
      </c>
      <c r="G93" s="36">
        <f>(Co_HA-C93*Co_HA)*F93</f>
        <v>5.0251256281407073E-4</v>
      </c>
      <c r="H93" s="37">
        <f t="shared" si="2"/>
        <v>5.0269235714330799E-4</v>
      </c>
      <c r="I93" s="38">
        <f>(C93*Co_HA)*F93</f>
        <v>4.9748743718592961E-2</v>
      </c>
      <c r="J93" s="39">
        <f t="shared" si="1"/>
        <v>4.9748563924263724E-2</v>
      </c>
      <c r="K93" s="38">
        <f t="shared" si="3"/>
        <v>1.010466066736313E-2</v>
      </c>
      <c r="L93" s="44">
        <f>Kw/M93</f>
        <v>9.8964233725322703E-7</v>
      </c>
      <c r="M93" s="44">
        <f>Ka1_*H93/J93</f>
        <v>1.010466066736313E-8</v>
      </c>
      <c r="N93" s="65">
        <f t="shared" si="4"/>
        <v>7.9954782662917916</v>
      </c>
      <c r="P93" s="47">
        <f t="shared" si="5"/>
        <v>29.4</v>
      </c>
      <c r="Q93" s="47">
        <f t="shared" si="6"/>
        <v>24.293419974918628</v>
      </c>
      <c r="R93" s="48"/>
      <c r="S93" s="47">
        <f t="shared" si="7"/>
        <v>29.099999999999998</v>
      </c>
      <c r="T93" s="47">
        <f t="shared" si="8"/>
        <v>21.249603645979871</v>
      </c>
    </row>
    <row r="94" spans="2:25" ht="17.399999999999999" customHeight="1" x14ac:dyDescent="0.3">
      <c r="B94" s="66" t="s">
        <v>8</v>
      </c>
      <c r="C94" s="46">
        <v>1</v>
      </c>
      <c r="D94" s="46">
        <f t="shared" si="0"/>
        <v>30</v>
      </c>
      <c r="E94" s="109">
        <f>(-($G$13/$G$12+$G$13^0.5)+(($G$13/$G$12+$G$13^0.5)^2-4*1*(-$G$13/$G$12*I94))^0.5)</f>
        <v>4.4611494831903822E-5</v>
      </c>
      <c r="F94" s="60">
        <f t="shared" ref="F71:F95" si="9">$D$11/($D$11+D94)</f>
        <v>0.5</v>
      </c>
      <c r="G94" s="40">
        <v>0</v>
      </c>
      <c r="H94" s="40">
        <f>G94+E94</f>
        <v>4.4611494831903822E-5</v>
      </c>
      <c r="I94" s="40">
        <f>($D$9-(1-C94)*$D$9)*F94</f>
        <v>0.05</v>
      </c>
      <c r="J94" s="40">
        <f>I94-E94</f>
        <v>4.9955388505168098E-2</v>
      </c>
      <c r="K94" s="110">
        <f t="shared" si="3"/>
        <v>8.930266817420221E-4</v>
      </c>
      <c r="L94" s="40">
        <f>$G$13/M94</f>
        <v>1.1207873707975956E-5</v>
      </c>
      <c r="M94" s="40">
        <f>$G$12*H94/I94</f>
        <v>8.9222989663807629E-10</v>
      </c>
      <c r="N94" s="67">
        <f t="shared" si="4"/>
        <v>9.0495232286090737</v>
      </c>
      <c r="O94" s="11"/>
      <c r="P94" s="85">
        <f>AVERAGE(D93:D94)</f>
        <v>29.85</v>
      </c>
      <c r="Q94" s="85">
        <f>(N94-N93)/(C94-C93)</f>
        <v>105.40449623172812</v>
      </c>
      <c r="R94" s="86"/>
      <c r="S94" s="85">
        <f>AVERAGE(P93:P94)</f>
        <v>29.625</v>
      </c>
      <c r="T94" s="85">
        <f>(Q94-Q93)/(P94-P93)</f>
        <v>180.24683612624219</v>
      </c>
    </row>
    <row r="95" spans="2:25" ht="17.399999999999999" customHeight="1" x14ac:dyDescent="0.3">
      <c r="B95" s="64">
        <v>27</v>
      </c>
      <c r="C95" s="2">
        <v>1.01</v>
      </c>
      <c r="D95" s="2">
        <f t="shared" si="0"/>
        <v>30.3</v>
      </c>
      <c r="E95" s="61">
        <f>(-(I95+$G$12+M95)+((I95+$G$12+M95)^2-4*1*(-$G$12*G95+I95*M95))^0.5)</f>
        <v>-4.0199191198020401E-11</v>
      </c>
      <c r="F95" s="59">
        <f t="shared" si="9"/>
        <v>0.49751243781094528</v>
      </c>
      <c r="G95" s="37">
        <v>0</v>
      </c>
      <c r="H95" s="37">
        <f>G95-E95</f>
        <v>4.0199191198020401E-11</v>
      </c>
      <c r="I95" s="39">
        <f>$D$9*F95</f>
        <v>4.975124378109453E-2</v>
      </c>
      <c r="J95" s="111">
        <f>I95-E95</f>
        <v>4.9751243821293721E-2</v>
      </c>
      <c r="K95" s="38">
        <f t="shared" si="3"/>
        <v>8.0800374242734002E-10</v>
      </c>
      <c r="L95" s="45">
        <f>(C95-1)*$D$9*F95</f>
        <v>4.9751243781094568E-4</v>
      </c>
      <c r="M95" s="45">
        <f>$G$13/L95</f>
        <v>2.0099999999999984E-11</v>
      </c>
      <c r="N95" s="65">
        <f t="shared" si="4"/>
        <v>10.696803942579512</v>
      </c>
      <c r="P95" s="47">
        <f>AVERAGE(D94:D95)</f>
        <v>30.15</v>
      </c>
      <c r="Q95" s="47">
        <f>(N95-N94)/(C95-C94)</f>
        <v>164.72807139704372</v>
      </c>
      <c r="R95" s="48"/>
      <c r="S95" s="47">
        <f>AVERAGE(P94:P95)</f>
        <v>30</v>
      </c>
      <c r="T95" s="47">
        <f>(Q95-Q94)/(P95-P94)</f>
        <v>197.74525055105389</v>
      </c>
    </row>
    <row r="96" spans="2:25" ht="17.399999999999999" customHeight="1" x14ac:dyDescent="0.3">
      <c r="B96" s="64">
        <v>28</v>
      </c>
      <c r="C96" s="2">
        <v>1.02</v>
      </c>
      <c r="D96" s="2">
        <f t="shared" si="0"/>
        <v>30.6</v>
      </c>
      <c r="E96" s="61">
        <f t="shared" ref="E96:E122" si="10">(-(I96+$G$12+M96)+((I96+$G$12+M96)^2-4*1*(-$G$12*G96+I96*M96))^0.5)</f>
        <v>-2.0199591999059407E-11</v>
      </c>
      <c r="F96" s="59">
        <f t="shared" ref="F96:F122" si="11">$D$11/($D$11+D96)</f>
        <v>0.49504950495049505</v>
      </c>
      <c r="G96" s="37">
        <v>0</v>
      </c>
      <c r="H96" s="37">
        <f t="shared" ref="H96:H122" si="12">G96-E96</f>
        <v>2.0199591999059407E-11</v>
      </c>
      <c r="I96" s="39">
        <f t="shared" ref="I96:I122" si="13">$D$9*F96</f>
        <v>4.9504950495049507E-2</v>
      </c>
      <c r="J96" s="111">
        <f t="shared" ref="J96:J122" si="14">I96-E96</f>
        <v>4.9504950515249099E-2</v>
      </c>
      <c r="K96" s="38">
        <f t="shared" ref="K96:K122" si="15">H96/J96</f>
        <v>4.0803175821451009E-10</v>
      </c>
      <c r="L96" s="45">
        <f t="shared" ref="L95:L122" si="16">(C96-1)*$D$9*F96</f>
        <v>9.9009900990099098E-4</v>
      </c>
      <c r="M96" s="45">
        <f t="shared" ref="M96:M122" si="17">$G$13/L96</f>
        <v>1.0099999999999991E-11</v>
      </c>
      <c r="N96" s="65">
        <f t="shared" si="4"/>
        <v>10.995678626217357</v>
      </c>
      <c r="P96" s="47">
        <f t="shared" si="5"/>
        <v>30.450000000000003</v>
      </c>
      <c r="Q96" s="47">
        <f t="shared" si="6"/>
        <v>29.887468363784439</v>
      </c>
      <c r="R96" s="48"/>
      <c r="S96" s="47">
        <f t="shared" si="7"/>
        <v>30.3</v>
      </c>
      <c r="T96" s="47">
        <f t="shared" si="8"/>
        <v>-449.46867677752454</v>
      </c>
    </row>
    <row r="97" spans="2:20" ht="17.399999999999999" customHeight="1" x14ac:dyDescent="0.3">
      <c r="B97" s="64">
        <v>29</v>
      </c>
      <c r="C97" s="2">
        <v>1.04</v>
      </c>
      <c r="D97" s="2">
        <f t="shared" si="0"/>
        <v>31.200000000000003</v>
      </c>
      <c r="E97" s="61">
        <f t="shared" si="10"/>
        <v>-1.0199792399578911E-11</v>
      </c>
      <c r="F97" s="59">
        <f t="shared" si="11"/>
        <v>0.49019607843137253</v>
      </c>
      <c r="G97" s="37">
        <v>0</v>
      </c>
      <c r="H97" s="37">
        <f t="shared" si="12"/>
        <v>1.0199792399578911E-11</v>
      </c>
      <c r="I97" s="39">
        <f t="shared" si="13"/>
        <v>4.9019607843137254E-2</v>
      </c>
      <c r="J97" s="111">
        <f t="shared" si="14"/>
        <v>4.9019607853337047E-2</v>
      </c>
      <c r="K97" s="38">
        <f t="shared" si="15"/>
        <v>2.0807576490811427E-10</v>
      </c>
      <c r="L97" s="45">
        <f t="shared" si="16"/>
        <v>1.9607843137254919E-3</v>
      </c>
      <c r="M97" s="45">
        <f t="shared" si="17"/>
        <v>5.0999999999999956E-12</v>
      </c>
      <c r="N97" s="65">
        <f t="shared" si="4"/>
        <v>11.292429823902063</v>
      </c>
      <c r="P97" s="47">
        <f t="shared" si="5"/>
        <v>30.900000000000002</v>
      </c>
      <c r="Q97" s="47">
        <f t="shared" si="6"/>
        <v>14.837559884235306</v>
      </c>
      <c r="R97" s="48"/>
      <c r="S97" s="47">
        <f t="shared" si="7"/>
        <v>30.675000000000004</v>
      </c>
      <c r="T97" s="47">
        <f t="shared" si="8"/>
        <v>-33.444241065664791</v>
      </c>
    </row>
    <row r="98" spans="2:20" ht="17.399999999999999" customHeight="1" x14ac:dyDescent="0.3">
      <c r="B98" s="64">
        <v>30</v>
      </c>
      <c r="C98" s="2">
        <v>1.07</v>
      </c>
      <c r="D98" s="2">
        <f t="shared" si="0"/>
        <v>32.1</v>
      </c>
      <c r="E98" s="61">
        <f t="shared" si="10"/>
        <v>-5.9141649910721128E-12</v>
      </c>
      <c r="F98" s="59">
        <f t="shared" si="11"/>
        <v>0.48309178743961351</v>
      </c>
      <c r="G98" s="37">
        <v>0</v>
      </c>
      <c r="H98" s="37">
        <f t="shared" si="12"/>
        <v>5.9141649910721128E-12</v>
      </c>
      <c r="I98" s="39">
        <f t="shared" si="13"/>
        <v>4.8309178743961352E-2</v>
      </c>
      <c r="J98" s="111">
        <f t="shared" si="14"/>
        <v>4.8309178749875517E-2</v>
      </c>
      <c r="K98" s="38">
        <f t="shared" si="15"/>
        <v>1.224232153002053E-10</v>
      </c>
      <c r="L98" s="45">
        <f t="shared" si="16"/>
        <v>3.3816425120772975E-3</v>
      </c>
      <c r="M98" s="45">
        <f t="shared" si="17"/>
        <v>2.9571428571428545E-12</v>
      </c>
      <c r="N98" s="65">
        <f t="shared" si="4"/>
        <v>11.529127694557339</v>
      </c>
      <c r="P98" s="47">
        <f t="shared" si="5"/>
        <v>31.650000000000002</v>
      </c>
      <c r="Q98" s="47">
        <f t="shared" si="6"/>
        <v>7.8899290218425051</v>
      </c>
      <c r="R98" s="48"/>
      <c r="S98" s="47">
        <f t="shared" si="7"/>
        <v>31.275000000000002</v>
      </c>
      <c r="T98" s="47">
        <f t="shared" si="8"/>
        <v>-9.2635078165237346</v>
      </c>
    </row>
    <row r="99" spans="2:20" ht="17.399999999999999" customHeight="1" x14ac:dyDescent="0.3">
      <c r="B99" s="64">
        <v>31</v>
      </c>
      <c r="C99" s="2">
        <v>1.1000000000000001</v>
      </c>
      <c r="D99" s="2">
        <f t="shared" si="0"/>
        <v>33</v>
      </c>
      <c r="E99" s="61">
        <f t="shared" si="10"/>
        <v>-4.199911252111832E-12</v>
      </c>
      <c r="F99" s="59">
        <f t="shared" si="11"/>
        <v>0.47619047619047616</v>
      </c>
      <c r="G99" s="37">
        <v>0</v>
      </c>
      <c r="H99" s="37">
        <f t="shared" si="12"/>
        <v>4.199911252111832E-12</v>
      </c>
      <c r="I99" s="39">
        <f t="shared" si="13"/>
        <v>4.7619047619047616E-2</v>
      </c>
      <c r="J99" s="111">
        <f t="shared" si="14"/>
        <v>4.7619047623247528E-2</v>
      </c>
      <c r="K99" s="38">
        <f t="shared" si="15"/>
        <v>8.8198136286569563E-11</v>
      </c>
      <c r="L99" s="45">
        <f t="shared" si="16"/>
        <v>4.7619047619047658E-3</v>
      </c>
      <c r="M99" s="45">
        <f t="shared" si="17"/>
        <v>2.0999999999999983E-12</v>
      </c>
      <c r="N99" s="65">
        <f t="shared" si="4"/>
        <v>11.67778070526608</v>
      </c>
      <c r="P99" s="47">
        <f t="shared" si="5"/>
        <v>32.549999999999997</v>
      </c>
      <c r="Q99" s="47">
        <f t="shared" si="6"/>
        <v>4.9551003569580558</v>
      </c>
      <c r="R99" s="48"/>
      <c r="S99" s="47">
        <f t="shared" si="7"/>
        <v>32.1</v>
      </c>
      <c r="T99" s="47">
        <f t="shared" si="8"/>
        <v>-3.2609207387605172</v>
      </c>
    </row>
    <row r="100" spans="2:20" ht="17.399999999999999" customHeight="1" x14ac:dyDescent="0.3">
      <c r="B100" s="64">
        <v>32</v>
      </c>
      <c r="C100" s="2">
        <v>1.1499999999999999</v>
      </c>
      <c r="D100" s="2">
        <f t="shared" si="0"/>
        <v>34.5</v>
      </c>
      <c r="E100" s="61">
        <f t="shared" si="10"/>
        <v>-2.8666027884760581E-12</v>
      </c>
      <c r="F100" s="59">
        <f t="shared" si="11"/>
        <v>0.46511627906976744</v>
      </c>
      <c r="G100" s="37">
        <v>0</v>
      </c>
      <c r="H100" s="37">
        <f t="shared" si="12"/>
        <v>2.8666027884760581E-12</v>
      </c>
      <c r="I100" s="39">
        <f t="shared" si="13"/>
        <v>4.6511627906976744E-2</v>
      </c>
      <c r="J100" s="111">
        <f t="shared" si="14"/>
        <v>4.6511627909843346E-2</v>
      </c>
      <c r="K100" s="38">
        <f t="shared" si="15"/>
        <v>6.1631959948436745E-11</v>
      </c>
      <c r="L100" s="45">
        <f t="shared" si="16"/>
        <v>6.9767441860465081E-3</v>
      </c>
      <c r="M100" s="45">
        <f t="shared" si="17"/>
        <v>1.4333333333333342E-12</v>
      </c>
      <c r="N100" s="65">
        <f t="shared" si="4"/>
        <v>11.843652799140076</v>
      </c>
      <c r="P100" s="47">
        <f t="shared" si="5"/>
        <v>33.75</v>
      </c>
      <c r="Q100" s="47">
        <f t="shared" si="6"/>
        <v>3.3174418774799128</v>
      </c>
      <c r="R100" s="48"/>
      <c r="S100" s="47">
        <f t="shared" si="7"/>
        <v>33.15</v>
      </c>
      <c r="T100" s="47">
        <f t="shared" si="8"/>
        <v>-1.364715399565116</v>
      </c>
    </row>
    <row r="101" spans="2:20" ht="17.399999999999999" customHeight="1" x14ac:dyDescent="0.3">
      <c r="B101" s="64">
        <v>33</v>
      </c>
      <c r="C101" s="2">
        <v>1.2</v>
      </c>
      <c r="D101" s="2">
        <f t="shared" si="0"/>
        <v>36</v>
      </c>
      <c r="E101" s="61">
        <f t="shared" si="10"/>
        <v>-2.199955495552075E-12</v>
      </c>
      <c r="F101" s="59">
        <f t="shared" si="11"/>
        <v>0.45454545454545453</v>
      </c>
      <c r="G101" s="37">
        <v>0</v>
      </c>
      <c r="H101" s="37">
        <f t="shared" si="12"/>
        <v>2.199955495552075E-12</v>
      </c>
      <c r="I101" s="39">
        <f t="shared" si="13"/>
        <v>4.5454545454545456E-2</v>
      </c>
      <c r="J101" s="111">
        <f t="shared" si="14"/>
        <v>4.5454545456745411E-2</v>
      </c>
      <c r="K101" s="38">
        <f t="shared" si="15"/>
        <v>4.8399020899803185E-11</v>
      </c>
      <c r="L101" s="45">
        <f t="shared" si="16"/>
        <v>9.0909090909090887E-3</v>
      </c>
      <c r="M101" s="45">
        <f t="shared" si="17"/>
        <v>1.1000000000000004E-12</v>
      </c>
      <c r="N101" s="65">
        <f t="shared" si="4"/>
        <v>11.958607314841775</v>
      </c>
      <c r="P101" s="47">
        <f t="shared" si="5"/>
        <v>35.25</v>
      </c>
      <c r="Q101" s="47">
        <f t="shared" si="6"/>
        <v>2.2990903140339802</v>
      </c>
      <c r="R101" s="48"/>
      <c r="S101" s="47">
        <f t="shared" si="7"/>
        <v>34.5</v>
      </c>
      <c r="T101" s="47">
        <f t="shared" si="8"/>
        <v>-0.67890104229728843</v>
      </c>
    </row>
    <row r="102" spans="2:20" ht="17.399999999999999" customHeight="1" x14ac:dyDescent="0.3">
      <c r="B102" s="64">
        <v>34</v>
      </c>
      <c r="C102" s="2">
        <v>1.25</v>
      </c>
      <c r="D102" s="2">
        <f t="shared" si="0"/>
        <v>37.5</v>
      </c>
      <c r="E102" s="61">
        <f t="shared" si="10"/>
        <v>-1.7999560175674389E-12</v>
      </c>
      <c r="F102" s="59">
        <f t="shared" si="11"/>
        <v>0.44444444444444442</v>
      </c>
      <c r="G102" s="37">
        <v>0</v>
      </c>
      <c r="H102" s="37">
        <f t="shared" si="12"/>
        <v>1.7999560175674389E-12</v>
      </c>
      <c r="I102" s="39">
        <f t="shared" si="13"/>
        <v>4.4444444444444446E-2</v>
      </c>
      <c r="J102" s="111">
        <f t="shared" si="14"/>
        <v>4.4444444446244402E-2</v>
      </c>
      <c r="K102" s="38">
        <f t="shared" si="15"/>
        <v>4.0499010393627206E-11</v>
      </c>
      <c r="L102" s="45">
        <f t="shared" si="16"/>
        <v>1.1111111111111112E-2</v>
      </c>
      <c r="M102" s="45">
        <f t="shared" si="17"/>
        <v>9E-13</v>
      </c>
      <c r="N102" s="65">
        <f t="shared" si="4"/>
        <v>12.045757490560675</v>
      </c>
      <c r="P102" s="47">
        <f t="shared" si="5"/>
        <v>36.75</v>
      </c>
      <c r="Q102" s="47">
        <f t="shared" si="6"/>
        <v>1.7430035143780016</v>
      </c>
      <c r="R102" s="48"/>
      <c r="S102" s="47">
        <f t="shared" si="7"/>
        <v>36</v>
      </c>
      <c r="T102" s="47">
        <f t="shared" si="8"/>
        <v>-0.37072453310398573</v>
      </c>
    </row>
    <row r="103" spans="2:20" ht="17.399999999999999" customHeight="1" x14ac:dyDescent="0.3">
      <c r="B103" s="64">
        <v>35</v>
      </c>
      <c r="C103" s="2">
        <v>1.3</v>
      </c>
      <c r="D103" s="2">
        <f t="shared" si="0"/>
        <v>39</v>
      </c>
      <c r="E103" s="61">
        <f t="shared" si="10"/>
        <v>-1.5332943248402842E-12</v>
      </c>
      <c r="F103" s="59">
        <f t="shared" si="11"/>
        <v>0.43478260869565216</v>
      </c>
      <c r="G103" s="37">
        <v>0</v>
      </c>
      <c r="H103" s="37">
        <f t="shared" si="12"/>
        <v>1.5332943248402842E-12</v>
      </c>
      <c r="I103" s="39">
        <f t="shared" si="13"/>
        <v>4.3478260869565216E-2</v>
      </c>
      <c r="J103" s="111">
        <f t="shared" si="14"/>
        <v>4.3478260871098511E-2</v>
      </c>
      <c r="K103" s="38">
        <f t="shared" si="15"/>
        <v>3.5265769470082863E-11</v>
      </c>
      <c r="L103" s="45">
        <f t="shared" si="16"/>
        <v>1.3043478260869568E-2</v>
      </c>
      <c r="M103" s="45">
        <f t="shared" si="17"/>
        <v>7.6666666666666646E-13</v>
      </c>
      <c r="N103" s="65">
        <f t="shared" si="4"/>
        <v>12.11539341870207</v>
      </c>
      <c r="P103" s="47">
        <f t="shared" si="5"/>
        <v>38.25</v>
      </c>
      <c r="Q103" s="47">
        <f t="shared" si="6"/>
        <v>1.3927185628278935</v>
      </c>
      <c r="R103" s="48"/>
      <c r="S103" s="47">
        <f t="shared" si="7"/>
        <v>37.5</v>
      </c>
      <c r="T103" s="47">
        <f t="shared" si="8"/>
        <v>-0.23352330103340538</v>
      </c>
    </row>
    <row r="104" spans="2:20" ht="17.399999999999999" customHeight="1" x14ac:dyDescent="0.3">
      <c r="B104" s="64">
        <v>36</v>
      </c>
      <c r="C104" s="2">
        <v>1.35</v>
      </c>
      <c r="D104" s="2">
        <f t="shared" si="0"/>
        <v>40.5</v>
      </c>
      <c r="E104" s="61">
        <f t="shared" si="10"/>
        <v>-1.3428286260719347E-12</v>
      </c>
      <c r="F104" s="59">
        <f t="shared" si="11"/>
        <v>0.42553191489361702</v>
      </c>
      <c r="G104" s="37">
        <v>0</v>
      </c>
      <c r="H104" s="37">
        <f t="shared" si="12"/>
        <v>1.3428286260719347E-12</v>
      </c>
      <c r="I104" s="39">
        <f t="shared" si="13"/>
        <v>4.2553191489361708E-2</v>
      </c>
      <c r="J104" s="111">
        <f t="shared" si="14"/>
        <v>4.2553191490704537E-2</v>
      </c>
      <c r="K104" s="38">
        <f t="shared" si="15"/>
        <v>3.1556472711694649E-11</v>
      </c>
      <c r="L104" s="45">
        <f t="shared" si="16"/>
        <v>1.48936170212766E-2</v>
      </c>
      <c r="M104" s="45">
        <f t="shared" si="17"/>
        <v>6.7142857142857125E-13</v>
      </c>
      <c r="N104" s="65">
        <f t="shared" si="4"/>
        <v>12.173000182078539</v>
      </c>
      <c r="P104" s="47">
        <f t="shared" ref="P104:P122" si="18">AVERAGE(D103:D104)</f>
        <v>39.75</v>
      </c>
      <c r="Q104" s="47">
        <f t="shared" ref="Q104:Q122" si="19">(N104-N103)/(C104-C103)</f>
        <v>1.1521352675293872</v>
      </c>
      <c r="R104" s="48"/>
      <c r="S104" s="47">
        <f t="shared" si="7"/>
        <v>39</v>
      </c>
      <c r="T104" s="47">
        <f t="shared" si="8"/>
        <v>-0.16038886353233753</v>
      </c>
    </row>
    <row r="105" spans="2:20" ht="17.399999999999999" customHeight="1" x14ac:dyDescent="0.3">
      <c r="B105" s="64">
        <v>37</v>
      </c>
      <c r="C105" s="2">
        <v>1.4</v>
      </c>
      <c r="D105" s="2">
        <f t="shared" si="0"/>
        <v>42</v>
      </c>
      <c r="E105" s="61">
        <f t="shared" si="10"/>
        <v>-1.1999706783782926E-12</v>
      </c>
      <c r="F105" s="59">
        <f t="shared" si="11"/>
        <v>0.41666666666666669</v>
      </c>
      <c r="G105" s="37">
        <v>0</v>
      </c>
      <c r="H105" s="37">
        <f t="shared" si="12"/>
        <v>1.1999706783782926E-12</v>
      </c>
      <c r="I105" s="39">
        <f t="shared" si="13"/>
        <v>4.1666666666666671E-2</v>
      </c>
      <c r="J105" s="111">
        <f t="shared" si="14"/>
        <v>4.1666666667866642E-2</v>
      </c>
      <c r="K105" s="38">
        <f t="shared" si="15"/>
        <v>2.879929628024962E-11</v>
      </c>
      <c r="L105" s="45">
        <f t="shared" si="16"/>
        <v>1.6666666666666666E-2</v>
      </c>
      <c r="M105" s="45">
        <f t="shared" si="17"/>
        <v>5.9999999999999997E-13</v>
      </c>
      <c r="N105" s="65">
        <f t="shared" si="4"/>
        <v>12.221848749616356</v>
      </c>
      <c r="P105" s="47">
        <f t="shared" si="18"/>
        <v>41.25</v>
      </c>
      <c r="Q105" s="47">
        <f t="shared" si="19"/>
        <v>0.97697135075634722</v>
      </c>
      <c r="R105" s="48"/>
      <c r="S105" s="47">
        <f t="shared" si="7"/>
        <v>40.5</v>
      </c>
      <c r="T105" s="47">
        <f t="shared" si="8"/>
        <v>-0.11677594451536</v>
      </c>
    </row>
    <row r="106" spans="2:20" ht="17.399999999999999" customHeight="1" x14ac:dyDescent="0.3">
      <c r="B106" s="64">
        <v>38</v>
      </c>
      <c r="C106" s="2">
        <v>1.45</v>
      </c>
      <c r="D106" s="2">
        <f t="shared" si="0"/>
        <v>43.5</v>
      </c>
      <c r="E106" s="61">
        <f t="shared" si="10"/>
        <v>-1.0888651091889301E-12</v>
      </c>
      <c r="F106" s="59">
        <f t="shared" si="11"/>
        <v>0.40816326530612246</v>
      </c>
      <c r="G106" s="37">
        <v>0</v>
      </c>
      <c r="H106" s="37">
        <f t="shared" si="12"/>
        <v>1.0888651091889301E-12</v>
      </c>
      <c r="I106" s="39">
        <f t="shared" si="13"/>
        <v>4.0816326530612249E-2</v>
      </c>
      <c r="J106" s="111">
        <f t="shared" si="14"/>
        <v>4.0816326531701114E-2</v>
      </c>
      <c r="K106" s="38">
        <f t="shared" si="15"/>
        <v>2.6677195174417111E-11</v>
      </c>
      <c r="L106" s="45">
        <f t="shared" si="16"/>
        <v>1.8367346938775508E-2</v>
      </c>
      <c r="M106" s="45">
        <f t="shared" si="17"/>
        <v>5.4444444444444447E-13</v>
      </c>
      <c r="N106" s="65">
        <f t="shared" si="4"/>
        <v>12.264046429410811</v>
      </c>
      <c r="P106" s="47">
        <f t="shared" si="18"/>
        <v>42.75</v>
      </c>
      <c r="Q106" s="47">
        <f t="shared" si="19"/>
        <v>0.84395359588910346</v>
      </c>
      <c r="R106" s="48"/>
      <c r="S106" s="47">
        <f t="shared" si="7"/>
        <v>42</v>
      </c>
      <c r="T106" s="47">
        <f t="shared" si="8"/>
        <v>-8.8678503244829177E-2</v>
      </c>
    </row>
    <row r="107" spans="2:20" ht="17.399999999999999" customHeight="1" x14ac:dyDescent="0.3">
      <c r="B107" s="64">
        <v>39</v>
      </c>
      <c r="C107" s="2">
        <v>1.5</v>
      </c>
      <c r="D107" s="2">
        <f t="shared" si="0"/>
        <v>45</v>
      </c>
      <c r="E107" s="61">
        <f t="shared" si="10"/>
        <v>-9.999778782798785E-13</v>
      </c>
      <c r="F107" s="59">
        <f t="shared" si="11"/>
        <v>0.4</v>
      </c>
      <c r="G107" s="37">
        <v>0</v>
      </c>
      <c r="H107" s="37">
        <f t="shared" si="12"/>
        <v>9.999778782798785E-13</v>
      </c>
      <c r="I107" s="39">
        <f t="shared" si="13"/>
        <v>4.0000000000000008E-2</v>
      </c>
      <c r="J107" s="111">
        <f t="shared" si="14"/>
        <v>4.0000000000999986E-2</v>
      </c>
      <c r="K107" s="38">
        <f t="shared" si="15"/>
        <v>2.4999446956371985E-11</v>
      </c>
      <c r="L107" s="45">
        <f t="shared" si="16"/>
        <v>2.0000000000000004E-2</v>
      </c>
      <c r="M107" s="45">
        <f t="shared" si="17"/>
        <v>4.9999999999999989E-13</v>
      </c>
      <c r="N107" s="65">
        <f t="shared" si="4"/>
        <v>12.301029995663981</v>
      </c>
      <c r="P107" s="47">
        <f t="shared" si="18"/>
        <v>44.25</v>
      </c>
      <c r="Q107" s="47">
        <f t="shared" si="19"/>
        <v>0.73967132506339728</v>
      </c>
      <c r="R107" s="48"/>
      <c r="S107" s="47">
        <f t="shared" si="7"/>
        <v>43.5</v>
      </c>
      <c r="T107" s="47">
        <f t="shared" si="8"/>
        <v>-6.952151388380412E-2</v>
      </c>
    </row>
    <row r="108" spans="2:20" ht="17.399999999999999" customHeight="1" x14ac:dyDescent="0.3">
      <c r="B108" s="64">
        <v>40</v>
      </c>
      <c r="C108" s="2">
        <v>1.55</v>
      </c>
      <c r="D108" s="2">
        <f t="shared" ref="D108:D122" si="20">C108*$G$14</f>
        <v>46.5</v>
      </c>
      <c r="E108" s="61">
        <f t="shared" si="10"/>
        <v>-9.2725133127302684E-13</v>
      </c>
      <c r="F108" s="59">
        <f t="shared" si="11"/>
        <v>0.39215686274509803</v>
      </c>
      <c r="G108" s="37">
        <v>0</v>
      </c>
      <c r="H108" s="37">
        <f t="shared" si="12"/>
        <v>9.2725133127302684E-13</v>
      </c>
      <c r="I108" s="39">
        <f t="shared" si="13"/>
        <v>3.9215686274509803E-2</v>
      </c>
      <c r="J108" s="111">
        <f t="shared" si="14"/>
        <v>3.9215686275437055E-2</v>
      </c>
      <c r="K108" s="38">
        <f t="shared" si="15"/>
        <v>2.3644908946903104E-11</v>
      </c>
      <c r="L108" s="45">
        <f t="shared" si="16"/>
        <v>2.1568627450980395E-2</v>
      </c>
      <c r="M108" s="45">
        <f t="shared" si="17"/>
        <v>4.6363636363636355E-13</v>
      </c>
      <c r="N108" s="65">
        <f t="shared" si="4"/>
        <v>12.333822509060289</v>
      </c>
      <c r="P108" s="47">
        <f t="shared" si="18"/>
        <v>45.75</v>
      </c>
      <c r="Q108" s="47">
        <f t="shared" si="19"/>
        <v>0.65585026792614742</v>
      </c>
      <c r="R108" s="48"/>
      <c r="S108" s="47">
        <f t="shared" ref="S108:S122" si="21">AVERAGE(P107:P108)</f>
        <v>45</v>
      </c>
      <c r="T108" s="47">
        <f t="shared" ref="T108:T122" si="22">(Q108-Q107)/(P108-P107)</f>
        <v>-5.5880704758166568E-2</v>
      </c>
    </row>
    <row r="109" spans="2:20" ht="17.399999999999999" customHeight="1" x14ac:dyDescent="0.3">
      <c r="B109" s="64">
        <v>41</v>
      </c>
      <c r="C109" s="2">
        <v>1.6</v>
      </c>
      <c r="D109" s="2">
        <f t="shared" si="20"/>
        <v>48</v>
      </c>
      <c r="E109" s="61">
        <f t="shared" si="10"/>
        <v>-8.666470319163011E-13</v>
      </c>
      <c r="F109" s="59">
        <f t="shared" si="11"/>
        <v>0.38461538461538464</v>
      </c>
      <c r="G109" s="37">
        <v>0</v>
      </c>
      <c r="H109" s="37">
        <f t="shared" si="12"/>
        <v>8.666470319163011E-13</v>
      </c>
      <c r="I109" s="39">
        <f t="shared" si="13"/>
        <v>3.8461538461538464E-2</v>
      </c>
      <c r="J109" s="111">
        <f t="shared" si="14"/>
        <v>3.8461538462405111E-2</v>
      </c>
      <c r="K109" s="38">
        <f t="shared" si="15"/>
        <v>2.2532822829316098E-11</v>
      </c>
      <c r="L109" s="45">
        <f t="shared" si="16"/>
        <v>2.3076923076923082E-2</v>
      </c>
      <c r="M109" s="45">
        <f t="shared" si="17"/>
        <v>4.3333333333333322E-13</v>
      </c>
      <c r="N109" s="65">
        <f t="shared" si="4"/>
        <v>12.363177902412826</v>
      </c>
      <c r="P109" s="47">
        <f t="shared" si="18"/>
        <v>47.25</v>
      </c>
      <c r="Q109" s="47">
        <f t="shared" si="19"/>
        <v>0.58710786705073958</v>
      </c>
      <c r="R109" s="48"/>
      <c r="S109" s="47">
        <f t="shared" si="21"/>
        <v>46.5</v>
      </c>
      <c r="T109" s="47">
        <f t="shared" si="22"/>
        <v>-4.5828267250271892E-2</v>
      </c>
    </row>
    <row r="110" spans="2:20" ht="17.399999999999999" customHeight="1" x14ac:dyDescent="0.3">
      <c r="B110" s="64">
        <v>42</v>
      </c>
      <c r="C110" s="2">
        <v>1.65</v>
      </c>
      <c r="D110" s="2">
        <f t="shared" si="20"/>
        <v>49.5</v>
      </c>
      <c r="E110" s="61">
        <f t="shared" si="10"/>
        <v>-8.1536166707252278E-13</v>
      </c>
      <c r="F110" s="59">
        <f t="shared" si="11"/>
        <v>0.37735849056603776</v>
      </c>
      <c r="G110" s="37">
        <v>0</v>
      </c>
      <c r="H110" s="37">
        <f t="shared" si="12"/>
        <v>8.1536166707252278E-13</v>
      </c>
      <c r="I110" s="39">
        <f t="shared" si="13"/>
        <v>3.7735849056603779E-2</v>
      </c>
      <c r="J110" s="111">
        <f t="shared" si="14"/>
        <v>3.7735849057419141E-2</v>
      </c>
      <c r="K110" s="38">
        <f t="shared" si="15"/>
        <v>2.1607084176954984E-11</v>
      </c>
      <c r="L110" s="45">
        <f t="shared" si="16"/>
        <v>2.4528301886792451E-2</v>
      </c>
      <c r="M110" s="45">
        <f t="shared" si="17"/>
        <v>4.0769230769230771E-13</v>
      </c>
      <c r="N110" s="65">
        <f t="shared" si="4"/>
        <v>12.389667482706047</v>
      </c>
      <c r="P110" s="47">
        <f t="shared" si="18"/>
        <v>48.75</v>
      </c>
      <c r="Q110" s="47">
        <f t="shared" si="19"/>
        <v>0.52979160586442664</v>
      </c>
      <c r="R110" s="48"/>
      <c r="S110" s="47">
        <f t="shared" si="21"/>
        <v>48</v>
      </c>
      <c r="T110" s="47">
        <f t="shared" si="22"/>
        <v>-3.8210840790875299E-2</v>
      </c>
    </row>
    <row r="111" spans="2:20" ht="17.399999999999999" customHeight="1" x14ac:dyDescent="0.3">
      <c r="B111" s="64">
        <v>43</v>
      </c>
      <c r="C111" s="2">
        <v>1.7</v>
      </c>
      <c r="D111" s="2">
        <f t="shared" si="20"/>
        <v>51</v>
      </c>
      <c r="E111" s="61">
        <f t="shared" si="10"/>
        <v>-7.7141071308517439E-13</v>
      </c>
      <c r="F111" s="59">
        <f t="shared" si="11"/>
        <v>0.37037037037037035</v>
      </c>
      <c r="G111" s="37">
        <v>0</v>
      </c>
      <c r="H111" s="37">
        <f t="shared" si="12"/>
        <v>7.7141071308517439E-13</v>
      </c>
      <c r="I111" s="39">
        <f t="shared" si="13"/>
        <v>3.7037037037037035E-2</v>
      </c>
      <c r="J111" s="111">
        <f t="shared" si="14"/>
        <v>3.7037037037808446E-2</v>
      </c>
      <c r="K111" s="38">
        <f t="shared" si="15"/>
        <v>2.0828089252865901E-11</v>
      </c>
      <c r="L111" s="45">
        <f t="shared" si="16"/>
        <v>2.5925925925925922E-2</v>
      </c>
      <c r="M111" s="45">
        <f t="shared" si="17"/>
        <v>3.8571428571428577E-13</v>
      </c>
      <c r="N111" s="65">
        <f t="shared" si="4"/>
        <v>12.413734275855269</v>
      </c>
      <c r="P111" s="47">
        <f t="shared" si="18"/>
        <v>50.25</v>
      </c>
      <c r="Q111" s="47">
        <f t="shared" si="19"/>
        <v>0.48133586298444397</v>
      </c>
      <c r="R111" s="48"/>
      <c r="S111" s="47">
        <f t="shared" si="21"/>
        <v>49.5</v>
      </c>
      <c r="T111" s="47">
        <f t="shared" si="22"/>
        <v>-3.2303828586655113E-2</v>
      </c>
    </row>
    <row r="112" spans="2:20" ht="17.399999999999999" customHeight="1" x14ac:dyDescent="0.3">
      <c r="B112" s="64">
        <v>44</v>
      </c>
      <c r="C112" s="2">
        <v>1.75</v>
      </c>
      <c r="D112" s="2">
        <f t="shared" si="20"/>
        <v>52.5</v>
      </c>
      <c r="E112" s="61">
        <f t="shared" si="10"/>
        <v>-7.3331618555272371E-13</v>
      </c>
      <c r="F112" s="59">
        <f t="shared" si="11"/>
        <v>0.36363636363636365</v>
      </c>
      <c r="G112" s="37">
        <v>0</v>
      </c>
      <c r="H112" s="37">
        <f t="shared" si="12"/>
        <v>7.3331618555272371E-13</v>
      </c>
      <c r="I112" s="39">
        <f t="shared" si="13"/>
        <v>3.6363636363636369E-2</v>
      </c>
      <c r="J112" s="111">
        <f t="shared" si="14"/>
        <v>3.6363636364369685E-2</v>
      </c>
      <c r="K112" s="38">
        <f t="shared" si="15"/>
        <v>2.0166195102293223E-11</v>
      </c>
      <c r="L112" s="45">
        <f t="shared" si="16"/>
        <v>2.7272727272727278E-2</v>
      </c>
      <c r="M112" s="45">
        <f t="shared" si="17"/>
        <v>3.666666666666666E-13</v>
      </c>
      <c r="N112" s="65">
        <f t="shared" si="4"/>
        <v>12.435728569561437</v>
      </c>
      <c r="P112" s="47">
        <f t="shared" si="18"/>
        <v>51.75</v>
      </c>
      <c r="Q112" s="47">
        <f t="shared" si="19"/>
        <v>0.43988587412336205</v>
      </c>
      <c r="R112" s="48"/>
      <c r="S112" s="47">
        <f t="shared" si="21"/>
        <v>51</v>
      </c>
      <c r="T112" s="47">
        <f t="shared" si="22"/>
        <v>-2.7633325907387946E-2</v>
      </c>
    </row>
    <row r="113" spans="2:20" ht="17.399999999999999" customHeight="1" x14ac:dyDescent="0.3">
      <c r="B113" s="64">
        <v>45</v>
      </c>
      <c r="C113" s="2">
        <v>1.8</v>
      </c>
      <c r="D113" s="2">
        <f t="shared" si="20"/>
        <v>54</v>
      </c>
      <c r="E113" s="61">
        <f t="shared" si="10"/>
        <v>-6.9998173923835338E-13</v>
      </c>
      <c r="F113" s="59">
        <f t="shared" si="11"/>
        <v>0.35714285714285715</v>
      </c>
      <c r="G113" s="37">
        <v>0</v>
      </c>
      <c r="H113" s="37">
        <f t="shared" si="12"/>
        <v>6.9998173923835338E-13</v>
      </c>
      <c r="I113" s="39">
        <f t="shared" si="13"/>
        <v>3.5714285714285719E-2</v>
      </c>
      <c r="J113" s="111">
        <f t="shared" si="14"/>
        <v>3.5714285714985701E-2</v>
      </c>
      <c r="K113" s="38">
        <f t="shared" si="15"/>
        <v>1.9599488698289753E-11</v>
      </c>
      <c r="L113" s="45">
        <f t="shared" si="16"/>
        <v>2.8571428571428577E-2</v>
      </c>
      <c r="M113" s="45">
        <f t="shared" si="17"/>
        <v>3.4999999999999992E-13</v>
      </c>
      <c r="N113" s="65">
        <f t="shared" si="4"/>
        <v>12.455931955649724</v>
      </c>
      <c r="P113" s="47">
        <f t="shared" si="18"/>
        <v>53.25</v>
      </c>
      <c r="Q113" s="47">
        <f t="shared" si="19"/>
        <v>0.40406772176574146</v>
      </c>
      <c r="R113" s="48"/>
      <c r="S113" s="47">
        <f t="shared" si="21"/>
        <v>52.5</v>
      </c>
      <c r="T113" s="47">
        <f t="shared" si="22"/>
        <v>-2.3878768238413728E-2</v>
      </c>
    </row>
    <row r="114" spans="2:20" ht="17.399999999999999" customHeight="1" x14ac:dyDescent="0.3">
      <c r="B114" s="64">
        <v>46</v>
      </c>
      <c r="C114" s="2">
        <v>1.85</v>
      </c>
      <c r="D114" s="2">
        <f t="shared" si="20"/>
        <v>55.5</v>
      </c>
      <c r="E114" s="61">
        <f t="shared" si="10"/>
        <v>-6.7056776797969064E-13</v>
      </c>
      <c r="F114" s="59">
        <f t="shared" si="11"/>
        <v>0.35087719298245612</v>
      </c>
      <c r="G114" s="37">
        <v>0</v>
      </c>
      <c r="H114" s="37">
        <f t="shared" si="12"/>
        <v>6.7056776797969064E-13</v>
      </c>
      <c r="I114" s="39">
        <f t="shared" si="13"/>
        <v>3.5087719298245612E-2</v>
      </c>
      <c r="J114" s="111">
        <f t="shared" si="14"/>
        <v>3.508771929891618E-2</v>
      </c>
      <c r="K114" s="38">
        <f t="shared" si="15"/>
        <v>1.9111181387055948E-11</v>
      </c>
      <c r="L114" s="45">
        <f t="shared" si="16"/>
        <v>2.9824561403508778E-2</v>
      </c>
      <c r="M114" s="45">
        <f t="shared" si="17"/>
        <v>3.3529411764705874E-13</v>
      </c>
      <c r="N114" s="65">
        <f t="shared" si="4"/>
        <v>12.474574065705783</v>
      </c>
      <c r="P114" s="47">
        <f t="shared" si="18"/>
        <v>54.75</v>
      </c>
      <c r="Q114" s="47">
        <f t="shared" si="19"/>
        <v>0.37284220112116595</v>
      </c>
      <c r="R114" s="48"/>
      <c r="S114" s="47">
        <f t="shared" si="21"/>
        <v>54</v>
      </c>
      <c r="T114" s="47">
        <f t="shared" si="22"/>
        <v>-2.081701376305034E-2</v>
      </c>
    </row>
    <row r="115" spans="2:20" ht="17.399999999999999" customHeight="1" x14ac:dyDescent="0.3">
      <c r="B115" s="64">
        <v>47</v>
      </c>
      <c r="C115" s="2">
        <v>1.9</v>
      </c>
      <c r="D115" s="2">
        <f t="shared" si="20"/>
        <v>57</v>
      </c>
      <c r="E115" s="61">
        <f t="shared" si="10"/>
        <v>-6.4442895464367211E-13</v>
      </c>
      <c r="F115" s="59">
        <f t="shared" si="11"/>
        <v>0.34482758620689657</v>
      </c>
      <c r="G115" s="37">
        <v>0</v>
      </c>
      <c r="H115" s="37">
        <f t="shared" si="12"/>
        <v>6.4442895464367211E-13</v>
      </c>
      <c r="I115" s="39">
        <f t="shared" si="13"/>
        <v>3.4482758620689662E-2</v>
      </c>
      <c r="J115" s="111">
        <f t="shared" si="14"/>
        <v>3.4482758621334091E-2</v>
      </c>
      <c r="K115" s="38">
        <f t="shared" si="15"/>
        <v>1.868843968431723E-11</v>
      </c>
      <c r="L115" s="45">
        <f t="shared" si="16"/>
        <v>3.1034482758620689E-2</v>
      </c>
      <c r="M115" s="45">
        <f t="shared" si="17"/>
        <v>3.2222222222222222E-13</v>
      </c>
      <c r="N115" s="65">
        <f t="shared" si="4"/>
        <v>12.49184451154037</v>
      </c>
      <c r="P115" s="47">
        <f t="shared" si="18"/>
        <v>56.25</v>
      </c>
      <c r="Q115" s="47">
        <f t="shared" si="19"/>
        <v>0.34540891669173968</v>
      </c>
      <c r="R115" s="48"/>
      <c r="S115" s="47">
        <f t="shared" si="21"/>
        <v>55.5</v>
      </c>
      <c r="T115" s="47">
        <f t="shared" si="22"/>
        <v>-1.8288856286284183E-2</v>
      </c>
    </row>
    <row r="116" spans="2:20" ht="17.399999999999999" customHeight="1" x14ac:dyDescent="0.3">
      <c r="B116" s="64">
        <v>48</v>
      </c>
      <c r="C116" s="2">
        <v>1.95</v>
      </c>
      <c r="D116" s="2">
        <f t="shared" si="20"/>
        <v>58.5</v>
      </c>
      <c r="E116" s="61">
        <f t="shared" si="10"/>
        <v>-6.2103794329360085E-13</v>
      </c>
      <c r="F116" s="59">
        <f t="shared" si="11"/>
        <v>0.33898305084745761</v>
      </c>
      <c r="G116" s="37">
        <v>0</v>
      </c>
      <c r="H116" s="37">
        <f t="shared" si="12"/>
        <v>6.2103794329360085E-13</v>
      </c>
      <c r="I116" s="39">
        <f t="shared" si="13"/>
        <v>3.3898305084745763E-2</v>
      </c>
      <c r="J116" s="111">
        <f t="shared" si="14"/>
        <v>3.3898305085366801E-2</v>
      </c>
      <c r="K116" s="38">
        <f t="shared" si="15"/>
        <v>1.832061932682558E-11</v>
      </c>
      <c r="L116" s="45">
        <f t="shared" si="16"/>
        <v>3.2203389830508473E-2</v>
      </c>
      <c r="M116" s="45">
        <f t="shared" si="17"/>
        <v>3.1052631578947367E-13</v>
      </c>
      <c r="N116" s="65">
        <f t="shared" si="4"/>
        <v>12.507901589310684</v>
      </c>
      <c r="P116" s="47">
        <f t="shared" si="18"/>
        <v>57.75</v>
      </c>
      <c r="Q116" s="47">
        <f t="shared" si="19"/>
        <v>0.32114155540629213</v>
      </c>
      <c r="R116" s="48"/>
      <c r="S116" s="47">
        <f t="shared" si="21"/>
        <v>57</v>
      </c>
      <c r="T116" s="47">
        <f t="shared" si="22"/>
        <v>-1.6178240856965027E-2</v>
      </c>
    </row>
    <row r="117" spans="2:20" ht="17.399999999999999" customHeight="1" x14ac:dyDescent="0.3">
      <c r="B117" s="64">
        <v>49</v>
      </c>
      <c r="C117" s="2">
        <v>2</v>
      </c>
      <c r="D117" s="2">
        <f t="shared" si="20"/>
        <v>60</v>
      </c>
      <c r="E117" s="61">
        <f t="shared" si="10"/>
        <v>-5.9998533918914632E-13</v>
      </c>
      <c r="F117" s="59">
        <f t="shared" si="11"/>
        <v>0.33333333333333331</v>
      </c>
      <c r="G117" s="37">
        <v>0</v>
      </c>
      <c r="H117" s="37">
        <f t="shared" si="12"/>
        <v>5.9998533918914632E-13</v>
      </c>
      <c r="I117" s="39">
        <f t="shared" si="13"/>
        <v>3.3333333333333333E-2</v>
      </c>
      <c r="J117" s="111">
        <f t="shared" si="14"/>
        <v>3.3333333333933318E-2</v>
      </c>
      <c r="K117" s="38">
        <f t="shared" si="15"/>
        <v>1.7999560175350406E-11</v>
      </c>
      <c r="L117" s="45">
        <f t="shared" si="16"/>
        <v>3.3333333333333333E-2</v>
      </c>
      <c r="M117" s="45">
        <f t="shared" si="17"/>
        <v>2.9999999999999998E-13</v>
      </c>
      <c r="N117" s="65">
        <f t="shared" si="4"/>
        <v>12.522878745280337</v>
      </c>
      <c r="P117" s="47">
        <f t="shared" si="18"/>
        <v>59.25</v>
      </c>
      <c r="Q117" s="47">
        <f t="shared" si="19"/>
        <v>0.29954311939306394</v>
      </c>
      <c r="R117" s="48"/>
      <c r="S117" s="47">
        <f t="shared" si="21"/>
        <v>58.5</v>
      </c>
      <c r="T117" s="47">
        <f t="shared" si="22"/>
        <v>-1.439895734215213E-2</v>
      </c>
    </row>
    <row r="118" spans="2:20" ht="17.399999999999999" customHeight="1" x14ac:dyDescent="0.3">
      <c r="B118" s="64">
        <v>50</v>
      </c>
      <c r="C118" s="2">
        <v>2.0499999999999998</v>
      </c>
      <c r="D118" s="2">
        <f t="shared" si="20"/>
        <v>61.499999999999993</v>
      </c>
      <c r="E118" s="61">
        <f t="shared" si="10"/>
        <v>-5.8093113652901707E-13</v>
      </c>
      <c r="F118" s="59">
        <f t="shared" si="11"/>
        <v>0.32786885245901637</v>
      </c>
      <c r="G118" s="37">
        <v>0</v>
      </c>
      <c r="H118" s="37">
        <f t="shared" si="12"/>
        <v>5.8093113652901707E-13</v>
      </c>
      <c r="I118" s="39">
        <f t="shared" si="13"/>
        <v>3.2786885245901641E-2</v>
      </c>
      <c r="J118" s="111">
        <f t="shared" si="14"/>
        <v>3.2786885246482572E-2</v>
      </c>
      <c r="K118" s="38">
        <f t="shared" si="15"/>
        <v>1.7718399663821076E-11</v>
      </c>
      <c r="L118" s="45">
        <f t="shared" si="16"/>
        <v>3.442622950819671E-2</v>
      </c>
      <c r="M118" s="45">
        <f t="shared" si="17"/>
        <v>2.9047619047619055E-13</v>
      </c>
      <c r="N118" s="65">
        <f t="shared" si="4"/>
        <v>12.536889459723152</v>
      </c>
      <c r="P118" s="47">
        <f t="shared" si="18"/>
        <v>60.75</v>
      </c>
      <c r="Q118" s="47">
        <f t="shared" si="19"/>
        <v>0.28021428885630073</v>
      </c>
      <c r="R118" s="48"/>
      <c r="S118" s="47">
        <f t="shared" si="21"/>
        <v>60</v>
      </c>
      <c r="T118" s="47">
        <f t="shared" si="22"/>
        <v>-1.2885887024508805E-2</v>
      </c>
    </row>
    <row r="119" spans="2:20" ht="17.399999999999999" customHeight="1" x14ac:dyDescent="0.3">
      <c r="B119" s="64">
        <v>51</v>
      </c>
      <c r="C119" s="2">
        <v>2.1</v>
      </c>
      <c r="D119" s="2">
        <f t="shared" si="20"/>
        <v>63</v>
      </c>
      <c r="E119" s="61">
        <f t="shared" si="10"/>
        <v>-5.6361859623876853E-13</v>
      </c>
      <c r="F119" s="59">
        <f t="shared" si="11"/>
        <v>0.32258064516129031</v>
      </c>
      <c r="G119" s="37">
        <v>0</v>
      </c>
      <c r="H119" s="37">
        <f t="shared" si="12"/>
        <v>5.6361859623876853E-13</v>
      </c>
      <c r="I119" s="39">
        <f t="shared" si="13"/>
        <v>3.2258064516129031E-2</v>
      </c>
      <c r="J119" s="111">
        <f t="shared" si="14"/>
        <v>3.225806451669265E-2</v>
      </c>
      <c r="K119" s="38">
        <f t="shared" si="15"/>
        <v>1.747217648309655E-11</v>
      </c>
      <c r="L119" s="45">
        <f t="shared" si="16"/>
        <v>3.5483870967741936E-2</v>
      </c>
      <c r="M119" s="45">
        <f t="shared" si="17"/>
        <v>2.8181818181818182E-13</v>
      </c>
      <c r="N119" s="65">
        <f t="shared" si="4"/>
        <v>12.550030991323952</v>
      </c>
      <c r="P119" s="47">
        <f t="shared" si="18"/>
        <v>62.25</v>
      </c>
      <c r="Q119" s="47">
        <f t="shared" si="19"/>
        <v>0.26283063201599649</v>
      </c>
      <c r="R119" s="48"/>
      <c r="S119" s="47">
        <f t="shared" si="21"/>
        <v>61.5</v>
      </c>
      <c r="T119" s="47">
        <f t="shared" si="22"/>
        <v>-1.1589104560202826E-2</v>
      </c>
    </row>
    <row r="120" spans="2:20" ht="17.399999999999999" customHeight="1" x14ac:dyDescent="0.3">
      <c r="B120" s="64">
        <v>52</v>
      </c>
      <c r="C120" s="2">
        <v>2.15</v>
      </c>
      <c r="D120" s="2">
        <f t="shared" si="20"/>
        <v>64.5</v>
      </c>
      <c r="E120" s="61">
        <f t="shared" si="10"/>
        <v>-5.4781179592566787E-13</v>
      </c>
      <c r="F120" s="59">
        <f t="shared" si="11"/>
        <v>0.31746031746031744</v>
      </c>
      <c r="G120" s="37">
        <v>0</v>
      </c>
      <c r="H120" s="37">
        <f t="shared" si="12"/>
        <v>5.4781179592566787E-13</v>
      </c>
      <c r="I120" s="39">
        <f t="shared" si="13"/>
        <v>3.1746031746031744E-2</v>
      </c>
      <c r="J120" s="111">
        <f t="shared" si="14"/>
        <v>3.1746031746579556E-2</v>
      </c>
      <c r="K120" s="38">
        <f t="shared" si="15"/>
        <v>1.7256071571360766E-11</v>
      </c>
      <c r="L120" s="45">
        <f t="shared" si="16"/>
        <v>3.6507936507936503E-2</v>
      </c>
      <c r="M120" s="45">
        <f t="shared" si="17"/>
        <v>2.739130434782609E-13</v>
      </c>
      <c r="N120" s="65">
        <f t="shared" si="4"/>
        <v>12.562387286564011</v>
      </c>
      <c r="P120" s="47">
        <f t="shared" si="18"/>
        <v>63.75</v>
      </c>
      <c r="Q120" s="47">
        <f t="shared" si="19"/>
        <v>0.24712590480117402</v>
      </c>
      <c r="R120" s="48"/>
      <c r="S120" s="47">
        <f t="shared" si="21"/>
        <v>63</v>
      </c>
      <c r="T120" s="47">
        <f t="shared" si="22"/>
        <v>-1.0469818143214979E-2</v>
      </c>
    </row>
    <row r="121" spans="2:20" ht="17.399999999999999" customHeight="1" x14ac:dyDescent="0.3">
      <c r="B121" s="64">
        <v>53</v>
      </c>
      <c r="C121" s="2">
        <v>2.2000000000000002</v>
      </c>
      <c r="D121" s="2">
        <f t="shared" si="20"/>
        <v>66</v>
      </c>
      <c r="E121" s="61">
        <f t="shared" si="10"/>
        <v>-5.3331644656040567E-13</v>
      </c>
      <c r="F121" s="59">
        <f t="shared" si="11"/>
        <v>0.3125</v>
      </c>
      <c r="G121" s="37">
        <v>0</v>
      </c>
      <c r="H121" s="37">
        <f t="shared" si="12"/>
        <v>5.3331644656040567E-13</v>
      </c>
      <c r="I121" s="39">
        <f t="shared" si="13"/>
        <v>3.125E-2</v>
      </c>
      <c r="J121" s="111">
        <f t="shared" si="14"/>
        <v>3.1250000000533316E-2</v>
      </c>
      <c r="K121" s="38">
        <f t="shared" si="15"/>
        <v>1.706612628964173E-11</v>
      </c>
      <c r="L121" s="45">
        <f t="shared" si="16"/>
        <v>3.7500000000000006E-2</v>
      </c>
      <c r="M121" s="45">
        <f t="shared" si="17"/>
        <v>2.6666666666666662E-13</v>
      </c>
      <c r="N121" s="65">
        <f t="shared" si="4"/>
        <v>12.574031267727719</v>
      </c>
      <c r="P121" s="47">
        <f t="shared" si="18"/>
        <v>65.25</v>
      </c>
      <c r="Q121" s="47">
        <f t="shared" si="19"/>
        <v>0.23287962327415687</v>
      </c>
      <c r="R121" s="48"/>
      <c r="S121" s="47">
        <f t="shared" si="21"/>
        <v>64.5</v>
      </c>
      <c r="T121" s="47">
        <f t="shared" si="22"/>
        <v>-9.4975210180114344E-3</v>
      </c>
    </row>
    <row r="122" spans="2:20" ht="17.399999999999999" customHeight="1" x14ac:dyDescent="0.3">
      <c r="B122" s="64">
        <v>54</v>
      </c>
      <c r="C122" s="2">
        <v>2.25</v>
      </c>
      <c r="D122" s="2">
        <f t="shared" si="20"/>
        <v>67.5</v>
      </c>
      <c r="E122" s="61">
        <f t="shared" si="10"/>
        <v>-5.1998336192404793E-13</v>
      </c>
      <c r="F122" s="59">
        <f t="shared" si="11"/>
        <v>0.30769230769230771</v>
      </c>
      <c r="G122" s="37">
        <v>0</v>
      </c>
      <c r="H122" s="37">
        <f t="shared" si="12"/>
        <v>5.1998336192404793E-13</v>
      </c>
      <c r="I122" s="39">
        <f t="shared" si="13"/>
        <v>3.0769230769230771E-2</v>
      </c>
      <c r="J122" s="111">
        <f t="shared" si="14"/>
        <v>3.0769230769750754E-2</v>
      </c>
      <c r="K122" s="38">
        <f t="shared" si="15"/>
        <v>1.6899459262245964E-11</v>
      </c>
      <c r="L122" s="45">
        <f t="shared" si="16"/>
        <v>3.8461538461538464E-2</v>
      </c>
      <c r="M122" s="45">
        <f t="shared" si="17"/>
        <v>2.6E-13</v>
      </c>
      <c r="N122" s="65">
        <f t="shared" si="4"/>
        <v>12.585026652029182</v>
      </c>
      <c r="P122" s="47">
        <f t="shared" si="18"/>
        <v>66.75</v>
      </c>
      <c r="Q122" s="47">
        <f t="shared" si="19"/>
        <v>0.21990768602926003</v>
      </c>
      <c r="R122" s="48"/>
      <c r="S122" s="47">
        <f t="shared" si="21"/>
        <v>66</v>
      </c>
      <c r="T122" s="47">
        <f t="shared" si="22"/>
        <v>-8.6479581632645606E-3</v>
      </c>
    </row>
    <row r="123" spans="2:20" ht="17.399999999999999" customHeight="1" x14ac:dyDescent="0.3"/>
    <row r="124" spans="2:20" ht="17.399999999999999" customHeight="1" x14ac:dyDescent="0.3"/>
    <row r="125" spans="2:20" ht="17.399999999999999" customHeight="1" x14ac:dyDescent="0.3"/>
    <row r="126" spans="2:20" ht="17.399999999999999" customHeight="1" x14ac:dyDescent="0.3"/>
    <row r="127" spans="2:20" ht="17.399999999999999" customHeight="1" x14ac:dyDescent="0.3"/>
    <row r="128" spans="2:20" ht="17.399999999999999" customHeight="1" x14ac:dyDescent="0.3"/>
    <row r="129" ht="17.399999999999999" customHeight="1" x14ac:dyDescent="0.3"/>
    <row r="130" ht="17.399999999999999" customHeight="1" x14ac:dyDescent="0.3"/>
    <row r="131" ht="17.399999999999999" customHeight="1" x14ac:dyDescent="0.3"/>
    <row r="132" ht="17.399999999999999" customHeight="1" x14ac:dyDescent="0.3"/>
    <row r="133" ht="17.399999999999999" customHeight="1" x14ac:dyDescent="0.3"/>
    <row r="134" ht="17.399999999999999" customHeight="1" x14ac:dyDescent="0.3"/>
    <row r="135" ht="17.399999999999999" customHeight="1" x14ac:dyDescent="0.3"/>
    <row r="136" ht="17.399999999999999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P140"/>
  <sheetViews>
    <sheetView tabSelected="1" zoomScale="55" zoomScaleNormal="55" workbookViewId="0">
      <selection activeCell="AF65" sqref="AF65"/>
    </sheetView>
  </sheetViews>
  <sheetFormatPr defaultRowHeight="14.4" x14ac:dyDescent="0.3"/>
  <cols>
    <col min="2" max="2" width="24" customWidth="1"/>
    <col min="3" max="3" width="13.44140625" customWidth="1"/>
    <col min="4" max="4" width="23.6640625" customWidth="1"/>
    <col min="5" max="10" width="22.5546875" customWidth="1"/>
    <col min="11" max="11" width="17.33203125" customWidth="1"/>
    <col min="12" max="12" width="25.44140625" style="1" customWidth="1"/>
    <col min="13" max="13" width="18.44140625" customWidth="1"/>
    <col min="14" max="14" width="22.44140625" customWidth="1"/>
    <col min="15" max="15" width="30" customWidth="1"/>
    <col min="16" max="16" width="2.88671875" customWidth="1"/>
    <col min="17" max="17" width="15.109375" customWidth="1"/>
    <col min="18" max="18" width="13" customWidth="1"/>
    <col min="19" max="19" width="2.88671875" customWidth="1"/>
    <col min="20" max="20" width="14.6640625" customWidth="1"/>
    <col min="21" max="21" width="15.5546875" customWidth="1"/>
    <col min="22" max="22" width="14.44140625" bestFit="1" customWidth="1"/>
    <col min="23" max="23" width="12" bestFit="1" customWidth="1"/>
    <col min="24" max="24" width="2.77734375" customWidth="1"/>
    <col min="25" max="25" width="13.88671875" customWidth="1"/>
    <col min="26" max="26" width="12.33203125" bestFit="1" customWidth="1"/>
    <col min="29" max="29" width="20.109375" bestFit="1" customWidth="1"/>
    <col min="30" max="30" width="17.88671875" bestFit="1" customWidth="1"/>
  </cols>
  <sheetData>
    <row r="4" spans="2:42" ht="134.4" customHeight="1" x14ac:dyDescent="1.1000000000000001">
      <c r="B4" s="50" t="s">
        <v>41</v>
      </c>
      <c r="C4" s="9"/>
      <c r="D4" s="9"/>
      <c r="E4" s="9"/>
      <c r="F4" s="9"/>
      <c r="G4" s="9"/>
      <c r="H4" s="9"/>
      <c r="I4" s="9"/>
      <c r="J4" s="9"/>
      <c r="K4" s="9"/>
      <c r="L4" s="10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2:42" ht="49.2" customHeight="1" x14ac:dyDescent="0.55000000000000004">
      <c r="B5" s="6" t="s">
        <v>42</v>
      </c>
      <c r="C5" s="6"/>
      <c r="D5" s="7"/>
      <c r="E5" s="7"/>
      <c r="F5" s="7" t="s">
        <v>35</v>
      </c>
      <c r="G5" s="7"/>
      <c r="H5" s="7" t="s">
        <v>47</v>
      </c>
      <c r="I5" s="7"/>
      <c r="J5" s="7"/>
      <c r="K5" s="7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7" spans="2:42" ht="40.799999999999997" customHeight="1" x14ac:dyDescent="0.45">
      <c r="B7" s="79" t="s">
        <v>31</v>
      </c>
      <c r="C7" s="78"/>
      <c r="D7" s="78"/>
    </row>
    <row r="8" spans="2:42" x14ac:dyDescent="0.3">
      <c r="B8" s="72"/>
      <c r="C8" s="71"/>
      <c r="D8" s="71"/>
    </row>
    <row r="9" spans="2:42" ht="21" x14ac:dyDescent="0.4">
      <c r="B9" s="11"/>
      <c r="C9" s="73" t="s">
        <v>30</v>
      </c>
      <c r="D9" s="113">
        <v>2.4490000000000001E-2</v>
      </c>
      <c r="E9" s="76" t="s">
        <v>34</v>
      </c>
      <c r="F9" s="51"/>
    </row>
    <row r="10" spans="2:42" ht="21" x14ac:dyDescent="0.4">
      <c r="B10" s="11"/>
      <c r="C10" s="73" t="s">
        <v>9</v>
      </c>
      <c r="D10" s="80">
        <v>0.1024</v>
      </c>
      <c r="E10" s="76" t="s">
        <v>34</v>
      </c>
      <c r="F10" s="51"/>
    </row>
    <row r="11" spans="2:42" ht="21" x14ac:dyDescent="0.4">
      <c r="B11" s="11"/>
      <c r="C11" s="73" t="s">
        <v>38</v>
      </c>
      <c r="D11" s="81">
        <v>75</v>
      </c>
      <c r="E11" s="76" t="s">
        <v>0</v>
      </c>
      <c r="F11" s="107"/>
      <c r="G11" s="108"/>
    </row>
    <row r="12" spans="2:42" ht="21.6" x14ac:dyDescent="0.45">
      <c r="B12" s="11"/>
      <c r="C12" s="74" t="s">
        <v>11</v>
      </c>
      <c r="D12" s="81">
        <v>3</v>
      </c>
      <c r="F12" s="100" t="s">
        <v>28</v>
      </c>
      <c r="G12" s="101">
        <f>10^(-D12)</f>
        <v>1E-3</v>
      </c>
    </row>
    <row r="13" spans="2:42" ht="21.6" x14ac:dyDescent="0.45">
      <c r="B13" s="11"/>
      <c r="C13" s="74" t="s">
        <v>10</v>
      </c>
      <c r="D13" s="81">
        <v>9</v>
      </c>
      <c r="F13" s="100" t="s">
        <v>29</v>
      </c>
      <c r="G13" s="101">
        <f>10^(-D13)</f>
        <v>1.0000000000000001E-9</v>
      </c>
      <c r="H13" s="13"/>
      <c r="I13" s="13"/>
      <c r="J13" s="13"/>
    </row>
    <row r="14" spans="2:42" ht="21" x14ac:dyDescent="0.4">
      <c r="B14" s="11"/>
      <c r="C14" s="73" t="s">
        <v>21</v>
      </c>
      <c r="D14" s="81">
        <v>14</v>
      </c>
      <c r="F14" s="100" t="s">
        <v>22</v>
      </c>
      <c r="G14" s="101">
        <f>10^(-D14)</f>
        <v>1E-14</v>
      </c>
      <c r="H14" s="13"/>
      <c r="I14" s="13"/>
      <c r="J14" s="13"/>
    </row>
    <row r="15" spans="2:42" ht="18" x14ac:dyDescent="0.35">
      <c r="B15" s="11"/>
      <c r="C15" s="11"/>
      <c r="D15" s="75"/>
      <c r="F15" s="102" t="s">
        <v>33</v>
      </c>
      <c r="G15" s="103">
        <f>D9*D11/D10</f>
        <v>17.93701171875</v>
      </c>
      <c r="H15" s="77" t="s">
        <v>0</v>
      </c>
      <c r="I15" s="13"/>
      <c r="J15" s="13"/>
    </row>
    <row r="16" spans="2:42" ht="34.200000000000003" customHeight="1" x14ac:dyDescent="0.35">
      <c r="F16" s="49"/>
    </row>
    <row r="18" spans="1:1" ht="40.799999999999997" customHeight="1" x14ac:dyDescent="0.3"/>
    <row r="19" spans="1:1" ht="10.8" customHeight="1" x14ac:dyDescent="0.3"/>
    <row r="20" spans="1:1" ht="18.600000000000001" customHeight="1" x14ac:dyDescent="0.3">
      <c r="A20" s="14"/>
    </row>
    <row r="21" spans="1:1" ht="18.600000000000001" customHeight="1" x14ac:dyDescent="0.3"/>
    <row r="22" spans="1:1" ht="18.600000000000001" customHeight="1" x14ac:dyDescent="0.3"/>
    <row r="23" spans="1:1" ht="18.600000000000001" customHeight="1" x14ac:dyDescent="0.3"/>
    <row r="24" spans="1:1" ht="18.600000000000001" customHeight="1" x14ac:dyDescent="0.3"/>
    <row r="25" spans="1:1" ht="18.600000000000001" customHeight="1" x14ac:dyDescent="0.3"/>
    <row r="26" spans="1:1" ht="18.600000000000001" customHeight="1" x14ac:dyDescent="0.3"/>
    <row r="27" spans="1:1" ht="18.600000000000001" customHeight="1" x14ac:dyDescent="0.3"/>
    <row r="28" spans="1:1" ht="18.600000000000001" customHeight="1" x14ac:dyDescent="0.3"/>
    <row r="29" spans="1:1" ht="18.600000000000001" customHeight="1" x14ac:dyDescent="0.3"/>
    <row r="30" spans="1:1" ht="18.600000000000001" customHeight="1" x14ac:dyDescent="0.3"/>
    <row r="31" spans="1:1" ht="18.600000000000001" customHeight="1" x14ac:dyDescent="0.3"/>
    <row r="32" spans="1:1" ht="18.600000000000001" customHeight="1" x14ac:dyDescent="0.3"/>
    <row r="33" ht="18.600000000000001" customHeight="1" x14ac:dyDescent="0.3"/>
    <row r="34" ht="18.600000000000001" customHeight="1" x14ac:dyDescent="0.3"/>
    <row r="35" ht="18.600000000000001" customHeight="1" x14ac:dyDescent="0.3"/>
    <row r="36" ht="18.600000000000001" customHeight="1" x14ac:dyDescent="0.3"/>
    <row r="37" ht="18.600000000000001" customHeight="1" x14ac:dyDescent="0.3"/>
    <row r="38" ht="18.600000000000001" customHeight="1" x14ac:dyDescent="0.3"/>
    <row r="39" ht="18.600000000000001" customHeight="1" x14ac:dyDescent="0.3"/>
    <row r="40" ht="18.600000000000001" customHeight="1" x14ac:dyDescent="0.3"/>
    <row r="41" ht="18.600000000000001" customHeight="1" x14ac:dyDescent="0.3"/>
    <row r="42" ht="18.600000000000001" customHeight="1" x14ac:dyDescent="0.3"/>
    <row r="43" ht="18.600000000000001" customHeight="1" x14ac:dyDescent="0.3"/>
    <row r="44" ht="18.600000000000001" customHeight="1" x14ac:dyDescent="0.3"/>
    <row r="45" ht="18.600000000000001" customHeight="1" x14ac:dyDescent="0.3"/>
    <row r="46" ht="18.600000000000001" customHeight="1" x14ac:dyDescent="0.3"/>
    <row r="47" ht="18.600000000000001" customHeight="1" x14ac:dyDescent="0.3"/>
    <row r="48" ht="18.600000000000001" customHeight="1" x14ac:dyDescent="0.3"/>
    <row r="49" ht="18.600000000000001" customHeight="1" x14ac:dyDescent="0.3"/>
    <row r="50" ht="18.600000000000001" customHeight="1" x14ac:dyDescent="0.3"/>
    <row r="51" ht="18.600000000000001" customHeight="1" x14ac:dyDescent="0.3"/>
    <row r="52" ht="18.600000000000001" customHeight="1" x14ac:dyDescent="0.3"/>
    <row r="53" ht="18.600000000000001" customHeight="1" x14ac:dyDescent="0.3"/>
    <row r="54" ht="18.600000000000001" customHeight="1" x14ac:dyDescent="0.3"/>
    <row r="55" ht="18.600000000000001" customHeight="1" x14ac:dyDescent="0.3"/>
    <row r="56" ht="18.600000000000001" customHeight="1" x14ac:dyDescent="0.3"/>
    <row r="57" ht="18.600000000000001" customHeight="1" x14ac:dyDescent="0.3"/>
    <row r="58" ht="18.600000000000001" customHeight="1" x14ac:dyDescent="0.3"/>
    <row r="59" ht="18.600000000000001" customHeight="1" x14ac:dyDescent="0.3"/>
    <row r="60" ht="18.600000000000001" customHeight="1" x14ac:dyDescent="0.3"/>
    <row r="61" ht="18.600000000000001" customHeight="1" x14ac:dyDescent="0.3"/>
    <row r="62" ht="18.600000000000001" customHeight="1" x14ac:dyDescent="0.3"/>
    <row r="63" ht="18.600000000000001" customHeight="1" x14ac:dyDescent="0.3"/>
    <row r="64" ht="18.600000000000001" customHeight="1" x14ac:dyDescent="0.3"/>
    <row r="65" spans="2:21" ht="18.600000000000001" customHeight="1" thickBot="1" x14ac:dyDescent="0.35">
      <c r="L65"/>
    </row>
    <row r="66" spans="2:21" ht="45.6" customHeight="1" thickBot="1" x14ac:dyDescent="0.6">
      <c r="B66" s="95" t="s">
        <v>32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7"/>
    </row>
    <row r="67" spans="2:21" ht="18.600000000000001" customHeight="1" x14ac:dyDescent="0.3">
      <c r="B67" s="98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18"/>
      <c r="R67" s="19"/>
      <c r="S67" s="90"/>
      <c r="T67" s="19"/>
      <c r="U67" s="20"/>
    </row>
    <row r="68" spans="2:21" ht="18.600000000000001" customHeight="1" x14ac:dyDescent="0.3">
      <c r="B68" s="98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21" t="s">
        <v>4</v>
      </c>
      <c r="R68" s="22"/>
      <c r="S68" s="91"/>
      <c r="T68" s="23" t="s">
        <v>5</v>
      </c>
      <c r="U68" s="24"/>
    </row>
    <row r="69" spans="2:21" ht="18.600000000000001" customHeight="1" thickBot="1" x14ac:dyDescent="0.35">
      <c r="B69" s="98"/>
      <c r="C69" s="94"/>
      <c r="D69" s="94"/>
      <c r="E69" s="94"/>
      <c r="F69" s="94"/>
      <c r="G69" s="94"/>
      <c r="H69" s="94"/>
      <c r="I69" s="94"/>
      <c r="J69" s="94"/>
      <c r="K69" s="94"/>
      <c r="L69" s="12"/>
      <c r="M69" s="94"/>
      <c r="N69" s="94"/>
      <c r="O69" s="94"/>
      <c r="P69" s="94"/>
      <c r="Q69" s="25"/>
      <c r="R69" s="26"/>
      <c r="S69" s="92"/>
      <c r="T69" s="26"/>
      <c r="U69" s="27"/>
    </row>
    <row r="70" spans="2:21" ht="38.4" customHeight="1" thickBot="1" x14ac:dyDescent="0.4">
      <c r="B70" s="52" t="s">
        <v>1</v>
      </c>
      <c r="C70" s="56" t="s">
        <v>23</v>
      </c>
      <c r="D70" s="57" t="s">
        <v>24</v>
      </c>
      <c r="E70" s="57" t="s">
        <v>25</v>
      </c>
      <c r="F70" s="57" t="s">
        <v>26</v>
      </c>
      <c r="G70" s="58" t="s">
        <v>12</v>
      </c>
      <c r="H70" s="58" t="s">
        <v>13</v>
      </c>
      <c r="I70" s="58" t="s">
        <v>16</v>
      </c>
      <c r="J70" s="58" t="s">
        <v>17</v>
      </c>
      <c r="K70" s="58" t="s">
        <v>18</v>
      </c>
      <c r="L70" s="58" t="s">
        <v>19</v>
      </c>
      <c r="M70" s="58" t="s">
        <v>20</v>
      </c>
      <c r="N70" s="58" t="s">
        <v>15</v>
      </c>
      <c r="O70" s="53" t="s">
        <v>14</v>
      </c>
      <c r="P70" s="16"/>
      <c r="Q70" s="29" t="s">
        <v>3</v>
      </c>
      <c r="R70" s="30" t="s">
        <v>2</v>
      </c>
      <c r="S70" s="93"/>
      <c r="T70" s="30" t="s">
        <v>7</v>
      </c>
      <c r="U70" s="31" t="s">
        <v>6</v>
      </c>
    </row>
    <row r="71" spans="2:21" ht="17.399999999999999" customHeight="1" thickBot="1" x14ac:dyDescent="0.35">
      <c r="B71" s="4"/>
      <c r="C71" s="5"/>
      <c r="D71" s="5"/>
      <c r="E71" s="5"/>
      <c r="F71" s="5"/>
      <c r="G71" s="99"/>
      <c r="H71" s="99"/>
      <c r="I71" s="99"/>
      <c r="J71" s="99"/>
      <c r="K71" s="99"/>
      <c r="L71" s="99"/>
      <c r="M71" s="99"/>
      <c r="N71" s="99"/>
      <c r="O71" s="32"/>
      <c r="P71" s="17"/>
      <c r="Q71" s="30"/>
      <c r="R71" s="30"/>
      <c r="S71" s="93"/>
      <c r="T71" s="30"/>
      <c r="U71" s="31"/>
    </row>
    <row r="72" spans="2:21" ht="17.399999999999999" customHeight="1" x14ac:dyDescent="0.3">
      <c r="B72" s="54">
        <v>1</v>
      </c>
      <c r="C72" s="3">
        <v>0</v>
      </c>
      <c r="D72" s="3">
        <f t="shared" ref="D72:D103" si="0">C72*$G$15</f>
        <v>0</v>
      </c>
      <c r="E72" s="35">
        <f>(-(I72+$G$12+$G$14^0.5)+((I72+$G$12+$G$14^0.5)^2-4*1*(-$G$12*G72+I72*$G$14^0.5))^0.5)</f>
        <v>8.9477741452633989E-3</v>
      </c>
      <c r="F72" s="34">
        <f t="shared" ref="F72:F103" si="1">$D$11/($D$11+D72)</f>
        <v>1</v>
      </c>
      <c r="G72" s="36">
        <f t="shared" ref="G72:G95" si="2">($D$9-C72*$D$9)*F72</f>
        <v>2.4490000000000001E-2</v>
      </c>
      <c r="H72" s="36">
        <f>G72-E72</f>
        <v>1.5542225854736602E-2</v>
      </c>
      <c r="I72" s="38">
        <f t="shared" ref="I72:I94" si="3">(C72*$D$9)*F72</f>
        <v>0</v>
      </c>
      <c r="J72" s="39">
        <f t="shared" ref="J72:J94" si="4">I72+E72</f>
        <v>8.9477741452633989E-3</v>
      </c>
      <c r="K72" s="42">
        <v>0</v>
      </c>
      <c r="L72" s="42">
        <f t="shared" ref="L72:L93" si="5">$G$13*J72/N72</f>
        <v>5.1512996209770353E-9</v>
      </c>
      <c r="M72" s="44">
        <f t="shared" ref="M72:M103" si="6">$G$14/N72</f>
        <v>5.7570738122664079E-12</v>
      </c>
      <c r="N72" s="44">
        <f t="shared" ref="N72:N94" si="7">$G$12*H72/J72</f>
        <v>1.7369935363158501E-3</v>
      </c>
      <c r="O72" s="55">
        <f>-LOG10(N72)</f>
        <v>2.7602017976424706</v>
      </c>
      <c r="Q72" s="28"/>
      <c r="R72" s="28"/>
      <c r="S72" s="28"/>
      <c r="T72" s="28"/>
      <c r="U72" s="28"/>
    </row>
    <row r="73" spans="2:21" ht="17.399999999999999" customHeight="1" x14ac:dyDescent="0.3">
      <c r="B73" s="64">
        <v>2</v>
      </c>
      <c r="C73" s="2">
        <v>0.05</v>
      </c>
      <c r="D73" s="2">
        <f t="shared" si="0"/>
        <v>0.8968505859375</v>
      </c>
      <c r="E73" s="35">
        <f t="shared" ref="E73:E93" si="8">(-(I73+$G$12+$G$14^0.5)+((I73+$G$12+$G$14^0.5)^2-4*1*(-$G$12*G73+I73*$G$14^0.5))^0.5)</f>
        <v>7.6309318188456706E-3</v>
      </c>
      <c r="F73" s="59">
        <f t="shared" si="1"/>
        <v>0.98818329642121316</v>
      </c>
      <c r="G73" s="37">
        <f t="shared" si="2"/>
        <v>2.2990578482887738E-2</v>
      </c>
      <c r="H73" s="37">
        <f t="shared" ref="H72:H94" si="9">G73-E73</f>
        <v>1.5359646664042067E-2</v>
      </c>
      <c r="I73" s="39">
        <f t="shared" si="3"/>
        <v>1.2100304464677757E-3</v>
      </c>
      <c r="J73" s="39">
        <f t="shared" si="4"/>
        <v>8.8409622653134456E-3</v>
      </c>
      <c r="K73" s="43">
        <f>L72</f>
        <v>5.1512996209770353E-9</v>
      </c>
      <c r="L73" s="43">
        <f t="shared" si="5"/>
        <v>5.0888288960240225E-9</v>
      </c>
      <c r="M73" s="45">
        <f t="shared" si="6"/>
        <v>5.7559672163622842E-12</v>
      </c>
      <c r="N73" s="45">
        <f t="shared" si="7"/>
        <v>1.737327476705106E-3</v>
      </c>
      <c r="O73" s="65">
        <f t="shared" ref="O73:O94" si="10">-LOG10(N73)</f>
        <v>2.7601183117076697</v>
      </c>
      <c r="Q73" s="47">
        <f t="shared" ref="Q73:Q104" si="11">AVERAGE(D72:D73)</f>
        <v>0.44842529296875</v>
      </c>
      <c r="R73" s="47">
        <f t="shared" ref="R73:R104" si="12">(O73-O72)/(C73-C72)</f>
        <v>-1.6697186960179522E-3</v>
      </c>
      <c r="S73" s="48"/>
      <c r="T73" s="48"/>
      <c r="U73" s="48"/>
    </row>
    <row r="74" spans="2:21" ht="17.399999999999999" customHeight="1" x14ac:dyDescent="0.3">
      <c r="B74" s="64">
        <v>3</v>
      </c>
      <c r="C74" s="2">
        <v>0.1</v>
      </c>
      <c r="D74" s="2">
        <f t="shared" si="0"/>
        <v>1.793701171875</v>
      </c>
      <c r="E74" s="35">
        <f t="shared" si="8"/>
        <v>6.4878154100337978E-3</v>
      </c>
      <c r="F74" s="59">
        <f t="shared" si="1"/>
        <v>0.97664260031092331</v>
      </c>
      <c r="G74" s="37">
        <f t="shared" si="2"/>
        <v>2.1526179553453061E-2</v>
      </c>
      <c r="H74" s="37">
        <f t="shared" si="9"/>
        <v>1.5038364143419263E-2</v>
      </c>
      <c r="I74" s="39">
        <f t="shared" si="3"/>
        <v>2.3917977281614515E-3</v>
      </c>
      <c r="J74" s="39">
        <f t="shared" si="4"/>
        <v>8.8796131381952484E-3</v>
      </c>
      <c r="K74" s="43">
        <f t="shared" ref="K74:K94" si="13">L73</f>
        <v>5.0888288960240225E-9</v>
      </c>
      <c r="L74" s="43">
        <f t="shared" si="5"/>
        <v>5.2430921829029582E-9</v>
      </c>
      <c r="M74" s="45">
        <f t="shared" si="6"/>
        <v>5.9046403275724222E-12</v>
      </c>
      <c r="N74" s="45">
        <f t="shared" si="7"/>
        <v>1.6935832574431007E-3</v>
      </c>
      <c r="O74" s="65">
        <f t="shared" si="10"/>
        <v>2.7711934483495413</v>
      </c>
      <c r="Q74" s="47">
        <f t="shared" si="11"/>
        <v>1.34527587890625</v>
      </c>
      <c r="R74" s="47">
        <f t="shared" si="12"/>
        <v>0.22150273283743083</v>
      </c>
      <c r="S74" s="48"/>
      <c r="T74" s="47">
        <f>AVERAGE(Q73:Q74)</f>
        <v>0.8968505859375</v>
      </c>
      <c r="U74" s="47">
        <f>(R74-R73)/(Q74-Q73)</f>
        <v>0.24884016917953075</v>
      </c>
    </row>
    <row r="75" spans="2:21" ht="17.399999999999999" customHeight="1" x14ac:dyDescent="0.3">
      <c r="B75" s="64">
        <v>4</v>
      </c>
      <c r="C75" s="2">
        <v>0.15</v>
      </c>
      <c r="D75" s="2">
        <f t="shared" si="0"/>
        <v>2.6905517578125</v>
      </c>
      <c r="E75" s="35">
        <f t="shared" si="8"/>
        <v>5.5060081130974565E-3</v>
      </c>
      <c r="F75" s="59">
        <f t="shared" si="1"/>
        <v>0.96536835307593316</v>
      </c>
      <c r="G75" s="37">
        <f t="shared" si="2"/>
        <v>2.0095590321805166E-2</v>
      </c>
      <c r="H75" s="37">
        <f t="shared" si="9"/>
        <v>1.4589582208707709E-2</v>
      </c>
      <c r="I75" s="39">
        <f t="shared" si="3"/>
        <v>3.5462806450244407E-3</v>
      </c>
      <c r="J75" s="39">
        <f t="shared" si="4"/>
        <v>9.0522887581218972E-3</v>
      </c>
      <c r="K75" s="43">
        <f t="shared" si="13"/>
        <v>5.2430921829029582E-9</v>
      </c>
      <c r="L75" s="43">
        <f t="shared" si="5"/>
        <v>5.6166057799456595E-9</v>
      </c>
      <c r="M75" s="45">
        <f t="shared" si="6"/>
        <v>6.2046250733068214E-12</v>
      </c>
      <c r="N75" s="45">
        <f t="shared" si="7"/>
        <v>1.6117009298469008E-3</v>
      </c>
      <c r="O75" s="65">
        <f t="shared" si="10"/>
        <v>2.792715543527982</v>
      </c>
      <c r="Q75" s="47">
        <f t="shared" si="11"/>
        <v>2.24212646484375</v>
      </c>
      <c r="R75" s="47">
        <f t="shared" si="12"/>
        <v>0.43044190356881462</v>
      </c>
      <c r="S75" s="48"/>
      <c r="T75" s="47">
        <f t="shared" ref="T75:T136" si="14">AVERAGE(Q74:Q75)</f>
        <v>1.793701171875</v>
      </c>
      <c r="U75" s="47">
        <f t="shared" ref="U75:U136" si="15">(R75-R74)/(Q75-Q74)</f>
        <v>0.23296987704253383</v>
      </c>
    </row>
    <row r="76" spans="2:21" ht="17.399999999999999" customHeight="1" x14ac:dyDescent="0.3">
      <c r="B76" s="64">
        <v>5</v>
      </c>
      <c r="C76" s="2">
        <v>0.2</v>
      </c>
      <c r="D76" s="2">
        <f t="shared" si="0"/>
        <v>3.58740234375</v>
      </c>
      <c r="E76" s="35">
        <f t="shared" si="8"/>
        <v>4.6690278892819797E-3</v>
      </c>
      <c r="F76" s="59">
        <f t="shared" si="1"/>
        <v>0.95435143245913256</v>
      </c>
      <c r="G76" s="37">
        <f t="shared" si="2"/>
        <v>1.8697653264739326E-2</v>
      </c>
      <c r="H76" s="37">
        <f t="shared" si="9"/>
        <v>1.4028625375457345E-2</v>
      </c>
      <c r="I76" s="39">
        <f t="shared" si="3"/>
        <v>4.6744133161848314E-3</v>
      </c>
      <c r="J76" s="39">
        <f t="shared" si="4"/>
        <v>9.3434412054668112E-3</v>
      </c>
      <c r="K76" s="43">
        <f t="shared" si="13"/>
        <v>5.6166057799456595E-9</v>
      </c>
      <c r="L76" s="43">
        <f t="shared" si="5"/>
        <v>6.2229827387609638E-9</v>
      </c>
      <c r="M76" s="45">
        <f t="shared" si="6"/>
        <v>6.6602685262469685E-12</v>
      </c>
      <c r="N76" s="45">
        <f t="shared" si="7"/>
        <v>1.5014409645184314E-3</v>
      </c>
      <c r="O76" s="65">
        <f t="shared" si="10"/>
        <v>2.8234917392478329</v>
      </c>
      <c r="Q76" s="47">
        <f t="shared" si="11"/>
        <v>3.13897705078125</v>
      </c>
      <c r="R76" s="47">
        <f t="shared" si="12"/>
        <v>0.61552391439701792</v>
      </c>
      <c r="S76" s="48"/>
      <c r="T76" s="47">
        <f t="shared" si="14"/>
        <v>2.6905517578125</v>
      </c>
      <c r="U76" s="47">
        <f t="shared" si="15"/>
        <v>0.20636883526672675</v>
      </c>
    </row>
    <row r="77" spans="2:21" ht="17.399999999999999" customHeight="1" x14ac:dyDescent="0.3">
      <c r="B77" s="64">
        <v>6</v>
      </c>
      <c r="C77" s="2">
        <v>0.25</v>
      </c>
      <c r="D77" s="2">
        <f t="shared" si="0"/>
        <v>4.4842529296875</v>
      </c>
      <c r="E77" s="35">
        <f t="shared" si="8"/>
        <v>3.9584079839310397E-3</v>
      </c>
      <c r="F77" s="59">
        <f t="shared" si="1"/>
        <v>0.94358312792278098</v>
      </c>
      <c r="G77" s="37">
        <f t="shared" si="2"/>
        <v>1.7331263102121682E-2</v>
      </c>
      <c r="H77" s="37">
        <f t="shared" si="9"/>
        <v>1.3372855118190643E-2</v>
      </c>
      <c r="I77" s="39">
        <f t="shared" si="3"/>
        <v>5.7770877007072268E-3</v>
      </c>
      <c r="J77" s="39">
        <f t="shared" si="4"/>
        <v>9.7354956846382665E-3</v>
      </c>
      <c r="K77" s="43">
        <f t="shared" si="13"/>
        <v>6.2229827387609638E-9</v>
      </c>
      <c r="L77" s="43">
        <f t="shared" si="5"/>
        <v>7.0874824701184751E-9</v>
      </c>
      <c r="M77" s="45">
        <f t="shared" si="6"/>
        <v>7.2800427422528495E-12</v>
      </c>
      <c r="N77" s="45">
        <f t="shared" si="7"/>
        <v>1.3736183088542478E-3</v>
      </c>
      <c r="O77" s="65">
        <f t="shared" si="10"/>
        <v>2.8621339291303536</v>
      </c>
      <c r="Q77" s="47">
        <f t="shared" si="11"/>
        <v>4.03582763671875</v>
      </c>
      <c r="R77" s="47">
        <f t="shared" si="12"/>
        <v>0.77284379765041344</v>
      </c>
      <c r="S77" s="48"/>
      <c r="T77" s="47">
        <f t="shared" si="14"/>
        <v>3.58740234375</v>
      </c>
      <c r="U77" s="47">
        <f t="shared" si="15"/>
        <v>0.17541370404407461</v>
      </c>
    </row>
    <row r="78" spans="2:21" ht="17.399999999999999" customHeight="1" x14ac:dyDescent="0.3">
      <c r="B78" s="64">
        <v>7</v>
      </c>
      <c r="C78" s="2">
        <v>0.3</v>
      </c>
      <c r="D78" s="2">
        <f t="shared" si="0"/>
        <v>5.381103515625</v>
      </c>
      <c r="E78" s="35">
        <f t="shared" si="8"/>
        <v>3.3556208894758993E-3</v>
      </c>
      <c r="F78" s="59">
        <f t="shared" si="1"/>
        <v>0.93305511767975435</v>
      </c>
      <c r="G78" s="37">
        <f t="shared" si="2"/>
        <v>1.5995363882384032E-2</v>
      </c>
      <c r="H78" s="37">
        <f t="shared" si="9"/>
        <v>1.2639742992908133E-2</v>
      </c>
      <c r="I78" s="39">
        <f t="shared" si="3"/>
        <v>6.8551559495931558E-3</v>
      </c>
      <c r="J78" s="39">
        <f t="shared" si="4"/>
        <v>1.0210776839069055E-2</v>
      </c>
      <c r="K78" s="43">
        <f t="shared" si="13"/>
        <v>7.0874824701184751E-9</v>
      </c>
      <c r="L78" s="43">
        <f t="shared" si="5"/>
        <v>8.2485825634086788E-9</v>
      </c>
      <c r="M78" s="45">
        <f t="shared" si="6"/>
        <v>8.0783104884316756E-12</v>
      </c>
      <c r="N78" s="45">
        <f t="shared" si="7"/>
        <v>1.237882601110743E-3</v>
      </c>
      <c r="O78" s="65">
        <f t="shared" si="10"/>
        <v>2.9073205411861851</v>
      </c>
      <c r="Q78" s="47">
        <f t="shared" si="11"/>
        <v>4.93267822265625</v>
      </c>
      <c r="R78" s="47">
        <f t="shared" si="12"/>
        <v>0.90373224111663064</v>
      </c>
      <c r="S78" s="48"/>
      <c r="T78" s="47">
        <f t="shared" si="14"/>
        <v>4.4842529296875</v>
      </c>
      <c r="U78" s="47">
        <f t="shared" si="15"/>
        <v>0.14594230691101828</v>
      </c>
    </row>
    <row r="79" spans="2:21" ht="17.399999999999999" customHeight="1" x14ac:dyDescent="0.3">
      <c r="B79" s="64">
        <v>8</v>
      </c>
      <c r="C79" s="2">
        <v>0.35</v>
      </c>
      <c r="D79" s="2">
        <f t="shared" si="0"/>
        <v>6.2779541015625</v>
      </c>
      <c r="E79" s="35">
        <f t="shared" si="8"/>
        <v>2.8434411687782279E-3</v>
      </c>
      <c r="F79" s="59">
        <f t="shared" si="1"/>
        <v>0.92275944724546388</v>
      </c>
      <c r="G79" s="37">
        <f t="shared" si="2"/>
        <v>1.4688946260976918E-2</v>
      </c>
      <c r="H79" s="37">
        <f t="shared" si="9"/>
        <v>1.1845505092198691E-2</v>
      </c>
      <c r="I79" s="39">
        <f t="shared" si="3"/>
        <v>7.909432602064493E-3</v>
      </c>
      <c r="J79" s="39">
        <f t="shared" si="4"/>
        <v>1.0752873770842721E-2</v>
      </c>
      <c r="K79" s="43">
        <f t="shared" si="13"/>
        <v>8.2485825634086788E-9</v>
      </c>
      <c r="L79" s="43">
        <f t="shared" si="5"/>
        <v>9.7610269407444809E-9</v>
      </c>
      <c r="M79" s="45">
        <f t="shared" si="6"/>
        <v>9.0775983692957381E-12</v>
      </c>
      <c r="N79" s="45">
        <f t="shared" si="7"/>
        <v>1.1016129589764858E-3</v>
      </c>
      <c r="O79" s="65">
        <f t="shared" si="10"/>
        <v>2.9579709638378469</v>
      </c>
      <c r="Q79" s="47">
        <f t="shared" si="11"/>
        <v>5.82952880859375</v>
      </c>
      <c r="R79" s="47">
        <f t="shared" si="12"/>
        <v>1.0130084530332353</v>
      </c>
      <c r="S79" s="48"/>
      <c r="T79" s="47">
        <f t="shared" si="14"/>
        <v>5.381103515625</v>
      </c>
      <c r="U79" s="47">
        <f t="shared" si="15"/>
        <v>0.12184438927736833</v>
      </c>
    </row>
    <row r="80" spans="2:21" ht="17.399999999999999" customHeight="1" x14ac:dyDescent="0.3">
      <c r="B80" s="64">
        <v>9</v>
      </c>
      <c r="C80" s="2">
        <v>0.4</v>
      </c>
      <c r="D80" s="2">
        <f t="shared" si="0"/>
        <v>7.1748046875</v>
      </c>
      <c r="E80" s="35">
        <f t="shared" si="8"/>
        <v>2.406674412682731E-3</v>
      </c>
      <c r="F80" s="59">
        <f t="shared" si="1"/>
        <v>0.91268850939427426</v>
      </c>
      <c r="G80" s="37">
        <f t="shared" si="2"/>
        <v>1.3411044957039467E-2</v>
      </c>
      <c r="H80" s="37">
        <f t="shared" si="9"/>
        <v>1.1004370544356736E-2</v>
      </c>
      <c r="I80" s="39">
        <f t="shared" si="3"/>
        <v>8.9406966380263121E-3</v>
      </c>
      <c r="J80" s="39">
        <f t="shared" si="4"/>
        <v>1.1347371050709043E-2</v>
      </c>
      <c r="K80" s="43">
        <f t="shared" si="13"/>
        <v>9.7610269407444809E-9</v>
      </c>
      <c r="L80" s="43">
        <f t="shared" si="5"/>
        <v>1.1701062704445355E-8</v>
      </c>
      <c r="M80" s="45">
        <f t="shared" si="6"/>
        <v>1.0311694798870802E-11</v>
      </c>
      <c r="N80" s="45">
        <f t="shared" si="7"/>
        <v>9.6977268965476606E-4</v>
      </c>
      <c r="O80" s="65">
        <f t="shared" si="10"/>
        <v>3.0133300504733724</v>
      </c>
      <c r="Q80" s="47">
        <f t="shared" si="11"/>
        <v>6.72637939453125</v>
      </c>
      <c r="R80" s="47">
        <f t="shared" si="12"/>
        <v>1.1071817327105107</v>
      </c>
      <c r="S80" s="48"/>
      <c r="T80" s="47">
        <f t="shared" si="14"/>
        <v>6.2779541015625</v>
      </c>
      <c r="U80" s="47">
        <f t="shared" si="15"/>
        <v>0.10500442454283927</v>
      </c>
    </row>
    <row r="81" spans="2:26" ht="17.399999999999999" customHeight="1" x14ac:dyDescent="0.3">
      <c r="B81" s="64">
        <v>10</v>
      </c>
      <c r="C81" s="2">
        <v>0.45</v>
      </c>
      <c r="D81" s="2">
        <f t="shared" si="0"/>
        <v>8.0716552734375</v>
      </c>
      <c r="E81" s="35">
        <f t="shared" si="8"/>
        <v>2.0323844270997218E-3</v>
      </c>
      <c r="F81" s="59">
        <f t="shared" si="1"/>
        <v>0.90283502541427696</v>
      </c>
      <c r="G81" s="37">
        <f t="shared" si="2"/>
        <v>1.2160736374817604E-2</v>
      </c>
      <c r="H81" s="37">
        <f t="shared" si="9"/>
        <v>1.0128351947717882E-2</v>
      </c>
      <c r="I81" s="39">
        <f t="shared" si="3"/>
        <v>9.9496933975780407E-3</v>
      </c>
      <c r="J81" s="39">
        <f t="shared" si="4"/>
        <v>1.1982077824677763E-2</v>
      </c>
      <c r="K81" s="43">
        <f t="shared" si="13"/>
        <v>1.1701062704445355E-8</v>
      </c>
      <c r="L81" s="43">
        <f t="shared" si="5"/>
        <v>1.4175078999795597E-8</v>
      </c>
      <c r="M81" s="45">
        <f t="shared" si="6"/>
        <v>1.183023446117269E-11</v>
      </c>
      <c r="N81" s="45">
        <f t="shared" si="7"/>
        <v>8.4529178460667083E-4</v>
      </c>
      <c r="O81" s="65">
        <f t="shared" si="10"/>
        <v>3.0729933519131785</v>
      </c>
      <c r="Q81" s="47">
        <f t="shared" si="11"/>
        <v>7.62322998046875</v>
      </c>
      <c r="R81" s="47">
        <f t="shared" si="12"/>
        <v>1.1932660287961208</v>
      </c>
      <c r="S81" s="48"/>
      <c r="T81" s="47">
        <f t="shared" si="14"/>
        <v>7.1748046875</v>
      </c>
      <c r="U81" s="47">
        <f t="shared" si="15"/>
        <v>9.5985103243952333E-2</v>
      </c>
    </row>
    <row r="82" spans="2:26" ht="17.399999999999999" customHeight="1" x14ac:dyDescent="0.3">
      <c r="B82" s="64">
        <v>11</v>
      </c>
      <c r="C82" s="2">
        <v>0.5</v>
      </c>
      <c r="D82" s="2">
        <f t="shared" si="0"/>
        <v>8.968505859375</v>
      </c>
      <c r="E82" s="35">
        <f t="shared" si="8"/>
        <v>1.7098066351004214E-3</v>
      </c>
      <c r="F82" s="59">
        <f t="shared" si="1"/>
        <v>0.8931920275633477</v>
      </c>
      <c r="G82" s="37">
        <f t="shared" si="2"/>
        <v>1.0937136377513193E-2</v>
      </c>
      <c r="H82" s="37">
        <f t="shared" si="9"/>
        <v>9.2273297424127713E-3</v>
      </c>
      <c r="I82" s="39">
        <f t="shared" si="3"/>
        <v>1.0937136377513193E-2</v>
      </c>
      <c r="J82" s="39">
        <f t="shared" si="4"/>
        <v>1.2646943012613614E-2</v>
      </c>
      <c r="K82" s="43">
        <f t="shared" si="13"/>
        <v>1.4175078999795597E-8</v>
      </c>
      <c r="L82" s="43">
        <f t="shared" si="5"/>
        <v>1.7333851940840437E-8</v>
      </c>
      <c r="M82" s="45">
        <f t="shared" si="6"/>
        <v>1.3705961925781009E-11</v>
      </c>
      <c r="N82" s="45">
        <f t="shared" si="7"/>
        <v>7.2960949797984853E-4</v>
      </c>
      <c r="O82" s="65">
        <f t="shared" si="10"/>
        <v>3.1369095210428686</v>
      </c>
      <c r="Q82" s="47">
        <f t="shared" si="11"/>
        <v>8.52008056640625</v>
      </c>
      <c r="R82" s="47">
        <f t="shared" si="12"/>
        <v>1.2783233825938025</v>
      </c>
      <c r="S82" s="48"/>
      <c r="T82" s="47">
        <f t="shared" si="14"/>
        <v>8.0716552734375</v>
      </c>
      <c r="U82" s="47">
        <f t="shared" si="15"/>
        <v>9.4840049314088598E-2</v>
      </c>
    </row>
    <row r="83" spans="2:26" ht="17.399999999999999" customHeight="1" x14ac:dyDescent="0.3">
      <c r="B83" s="64">
        <v>12</v>
      </c>
      <c r="C83" s="2">
        <v>0.55000000000000004</v>
      </c>
      <c r="D83" s="2">
        <f t="shared" si="0"/>
        <v>9.8653564453125</v>
      </c>
      <c r="E83" s="35">
        <f t="shared" si="8"/>
        <v>1.4301059669694239E-3</v>
      </c>
      <c r="F83" s="59">
        <f t="shared" si="1"/>
        <v>0.88375284263762255</v>
      </c>
      <c r="G83" s="37">
        <f t="shared" si="2"/>
        <v>9.7393982022879189E-3</v>
      </c>
      <c r="H83" s="37">
        <f t="shared" si="9"/>
        <v>8.309292235318495E-3</v>
      </c>
      <c r="I83" s="39">
        <f t="shared" si="3"/>
        <v>1.1903708913907459E-2</v>
      </c>
      <c r="J83" s="39">
        <f t="shared" si="4"/>
        <v>1.3333814880876883E-2</v>
      </c>
      <c r="K83" s="43">
        <f t="shared" si="13"/>
        <v>1.7333851940840437E-8</v>
      </c>
      <c r="L83" s="43">
        <f t="shared" si="5"/>
        <v>2.1396602050147909E-8</v>
      </c>
      <c r="M83" s="45">
        <f t="shared" si="6"/>
        <v>1.6046871987726878E-11</v>
      </c>
      <c r="N83" s="45">
        <f t="shared" si="7"/>
        <v>6.2317441104087418E-4</v>
      </c>
      <c r="O83" s="65">
        <f t="shared" si="10"/>
        <v>3.2053903880888752</v>
      </c>
      <c r="Q83" s="47">
        <f t="shared" si="11"/>
        <v>9.41693115234375</v>
      </c>
      <c r="R83" s="47">
        <f t="shared" si="12"/>
        <v>1.3696173409201318</v>
      </c>
      <c r="S83" s="48"/>
      <c r="T83" s="47">
        <f t="shared" si="14"/>
        <v>8.968505859375</v>
      </c>
      <c r="U83" s="47">
        <f t="shared" si="15"/>
        <v>0.10179394400561988</v>
      </c>
    </row>
    <row r="84" spans="2:26" ht="17.399999999999999" customHeight="1" x14ac:dyDescent="0.3">
      <c r="B84" s="64">
        <v>13</v>
      </c>
      <c r="C84" s="2">
        <v>0.6</v>
      </c>
      <c r="D84" s="2">
        <f t="shared" si="0"/>
        <v>10.76220703125</v>
      </c>
      <c r="E84" s="35">
        <f t="shared" si="8"/>
        <v>1.1860835588821603E-3</v>
      </c>
      <c r="F84" s="59">
        <f t="shared" si="1"/>
        <v>0.87451107657096006</v>
      </c>
      <c r="G84" s="37">
        <f t="shared" si="2"/>
        <v>8.5667105060891254E-3</v>
      </c>
      <c r="H84" s="37">
        <f t="shared" si="9"/>
        <v>7.3806269472069651E-3</v>
      </c>
      <c r="I84" s="39">
        <f t="shared" si="3"/>
        <v>1.2850065759133687E-2</v>
      </c>
      <c r="J84" s="39">
        <f t="shared" si="4"/>
        <v>1.4036149318015848E-2</v>
      </c>
      <c r="K84" s="43">
        <f t="shared" si="13"/>
        <v>2.1396602050147909E-8</v>
      </c>
      <c r="L84" s="43">
        <f t="shared" si="5"/>
        <v>2.6693326879526426E-8</v>
      </c>
      <c r="M84" s="45">
        <f t="shared" si="6"/>
        <v>1.9017556934411267E-11</v>
      </c>
      <c r="N84" s="45">
        <f t="shared" si="7"/>
        <v>5.2582989678897859E-4</v>
      </c>
      <c r="O84" s="65">
        <f t="shared" si="10"/>
        <v>3.2791547251118147</v>
      </c>
      <c r="Q84" s="47">
        <f t="shared" si="11"/>
        <v>10.31378173828125</v>
      </c>
      <c r="R84" s="47">
        <f t="shared" si="12"/>
        <v>1.4752867404587919</v>
      </c>
      <c r="S84" s="48"/>
      <c r="T84" s="47">
        <f t="shared" si="14"/>
        <v>9.8653564453125</v>
      </c>
      <c r="U84" s="47">
        <f t="shared" si="15"/>
        <v>0.11782274683826108</v>
      </c>
    </row>
    <row r="85" spans="2:26" ht="17.399999999999999" customHeight="1" x14ac:dyDescent="0.3">
      <c r="B85" s="64">
        <v>14</v>
      </c>
      <c r="C85" s="2">
        <v>0.65</v>
      </c>
      <c r="D85" s="2">
        <f t="shared" si="0"/>
        <v>11.6590576171875</v>
      </c>
      <c r="E85" s="35">
        <f t="shared" si="8"/>
        <v>9.7188972583571107E-4</v>
      </c>
      <c r="F85" s="59">
        <f t="shared" si="1"/>
        <v>0.86546059999070302</v>
      </c>
      <c r="G85" s="37">
        <f t="shared" si="2"/>
        <v>7.4182955328203105E-3</v>
      </c>
      <c r="H85" s="37">
        <f t="shared" si="9"/>
        <v>6.4464058069845995E-3</v>
      </c>
      <c r="I85" s="39">
        <f t="shared" si="3"/>
        <v>1.3776834560952007E-2</v>
      </c>
      <c r="J85" s="39">
        <f t="shared" si="4"/>
        <v>1.4748724286787718E-2</v>
      </c>
      <c r="K85" s="43">
        <f t="shared" si="13"/>
        <v>2.6693326879526426E-8</v>
      </c>
      <c r="L85" s="43">
        <f t="shared" si="5"/>
        <v>3.3743589001486138E-8</v>
      </c>
      <c r="M85" s="45">
        <f t="shared" si="6"/>
        <v>2.2878988274066861E-11</v>
      </c>
      <c r="N85" s="45">
        <f t="shared" si="7"/>
        <v>4.3708226431213808E-4</v>
      </c>
      <c r="O85" s="65">
        <f t="shared" si="10"/>
        <v>3.359436815719552</v>
      </c>
      <c r="Q85" s="47">
        <f t="shared" si="11"/>
        <v>11.21063232421875</v>
      </c>
      <c r="R85" s="47">
        <f t="shared" si="12"/>
        <v>1.6056418121547442</v>
      </c>
      <c r="S85" s="48"/>
      <c r="T85" s="47">
        <f t="shared" si="14"/>
        <v>10.76220703125</v>
      </c>
      <c r="U85" s="47">
        <f t="shared" si="15"/>
        <v>0.14534759049043708</v>
      </c>
    </row>
    <row r="86" spans="2:26" ht="17.399999999999999" customHeight="1" x14ac:dyDescent="0.3">
      <c r="B86" s="64">
        <v>15</v>
      </c>
      <c r="C86" s="2">
        <v>0.7</v>
      </c>
      <c r="D86" s="2">
        <f t="shared" si="0"/>
        <v>12.555908203125</v>
      </c>
      <c r="E86" s="35">
        <f t="shared" si="8"/>
        <v>7.8276922903132429E-4</v>
      </c>
      <c r="F86" s="59">
        <f t="shared" si="1"/>
        <v>0.856595534661168</v>
      </c>
      <c r="G86" s="37">
        <f t="shared" si="2"/>
        <v>6.2934073931556036E-3</v>
      </c>
      <c r="H86" s="37">
        <f t="shared" si="9"/>
        <v>5.5106381641242793E-3</v>
      </c>
      <c r="I86" s="39">
        <f t="shared" si="3"/>
        <v>1.4684617250696402E-2</v>
      </c>
      <c r="J86" s="39">
        <f t="shared" si="4"/>
        <v>1.5467386479727726E-2</v>
      </c>
      <c r="K86" s="43">
        <f t="shared" si="13"/>
        <v>3.3743589001486138E-8</v>
      </c>
      <c r="L86" s="43">
        <f t="shared" si="5"/>
        <v>4.3414217625606485E-8</v>
      </c>
      <c r="M86" s="45">
        <f t="shared" si="6"/>
        <v>2.8068230972638571E-11</v>
      </c>
      <c r="N86" s="45">
        <f t="shared" si="7"/>
        <v>3.5627467971701473E-4</v>
      </c>
      <c r="O86" s="65">
        <f t="shared" si="10"/>
        <v>3.4482150416678681</v>
      </c>
      <c r="Q86" s="47">
        <f t="shared" si="11"/>
        <v>12.10748291015625</v>
      </c>
      <c r="R86" s="47">
        <f t="shared" si="12"/>
        <v>1.7755645189663241</v>
      </c>
      <c r="S86" s="48"/>
      <c r="T86" s="47">
        <f t="shared" si="14"/>
        <v>11.6590576171875</v>
      </c>
      <c r="U86" s="47">
        <f t="shared" si="15"/>
        <v>0.18946601527160228</v>
      </c>
      <c r="Z86" s="15"/>
    </row>
    <row r="87" spans="2:26" ht="17.399999999999999" customHeight="1" x14ac:dyDescent="0.3">
      <c r="B87" s="64">
        <v>16</v>
      </c>
      <c r="C87" s="2">
        <v>0.75</v>
      </c>
      <c r="D87" s="2">
        <f t="shared" si="0"/>
        <v>13.4527587890625</v>
      </c>
      <c r="E87" s="35">
        <f t="shared" si="8"/>
        <v>6.1484684528408454E-4</v>
      </c>
      <c r="F87" s="59">
        <f t="shared" si="1"/>
        <v>0.84791024075185795</v>
      </c>
      <c r="G87" s="37">
        <f t="shared" si="2"/>
        <v>5.1913304490032496E-3</v>
      </c>
      <c r="H87" s="37">
        <f t="shared" si="9"/>
        <v>4.5764836037191651E-3</v>
      </c>
      <c r="I87" s="39">
        <f t="shared" si="3"/>
        <v>1.5573991347009753E-2</v>
      </c>
      <c r="J87" s="39">
        <f t="shared" si="4"/>
        <v>1.6188838192293838E-2</v>
      </c>
      <c r="K87" s="43">
        <f t="shared" si="13"/>
        <v>4.3414217625606485E-8</v>
      </c>
      <c r="L87" s="43">
        <f t="shared" si="5"/>
        <v>5.7266343487670019E-8</v>
      </c>
      <c r="M87" s="45">
        <f t="shared" si="6"/>
        <v>3.5373967425858744E-11</v>
      </c>
      <c r="N87" s="45">
        <f t="shared" si="7"/>
        <v>2.8269376402178441E-4</v>
      </c>
      <c r="O87" s="65">
        <f t="shared" si="10"/>
        <v>3.5486837715628288</v>
      </c>
      <c r="Q87" s="47">
        <f t="shared" si="11"/>
        <v>13.00433349609375</v>
      </c>
      <c r="R87" s="47">
        <f t="shared" si="12"/>
        <v>2.0093745978992121</v>
      </c>
      <c r="S87" s="48"/>
      <c r="T87" s="47">
        <f t="shared" si="14"/>
        <v>12.555908203125</v>
      </c>
      <c r="U87" s="47">
        <f t="shared" si="15"/>
        <v>0.26070126127919141</v>
      </c>
    </row>
    <row r="88" spans="2:26" ht="17.399999999999999" customHeight="1" x14ac:dyDescent="0.3">
      <c r="B88" s="64">
        <v>17</v>
      </c>
      <c r="C88" s="2">
        <v>0.8</v>
      </c>
      <c r="D88" s="2">
        <f t="shared" si="0"/>
        <v>14.349609375</v>
      </c>
      <c r="E88" s="35">
        <f t="shared" si="8"/>
        <v>4.6495225109682847E-4</v>
      </c>
      <c r="F88" s="59">
        <f t="shared" si="1"/>
        <v>0.83939930487245062</v>
      </c>
      <c r="G88" s="37">
        <f t="shared" si="2"/>
        <v>4.1113777952652628E-3</v>
      </c>
      <c r="H88" s="37">
        <f t="shared" si="9"/>
        <v>3.6464255441684343E-3</v>
      </c>
      <c r="I88" s="39">
        <f t="shared" si="3"/>
        <v>1.6445511181061055E-2</v>
      </c>
      <c r="J88" s="39">
        <f t="shared" si="4"/>
        <v>1.6910463432157883E-2</v>
      </c>
      <c r="K88" s="43">
        <f t="shared" si="13"/>
        <v>5.7266343487670019E-8</v>
      </c>
      <c r="L88" s="43">
        <f t="shared" si="5"/>
        <v>7.8423039227464288E-8</v>
      </c>
      <c r="M88" s="45">
        <f t="shared" si="6"/>
        <v>4.6375452418607678E-11</v>
      </c>
      <c r="N88" s="45">
        <f t="shared" si="7"/>
        <v>2.1563131955533446E-4</v>
      </c>
      <c r="O88" s="65">
        <f t="shared" si="10"/>
        <v>3.6662881594305721</v>
      </c>
      <c r="Q88" s="47">
        <f t="shared" si="11"/>
        <v>13.90118408203125</v>
      </c>
      <c r="R88" s="47">
        <f t="shared" si="12"/>
        <v>2.3520877573548638</v>
      </c>
      <c r="S88" s="48"/>
      <c r="T88" s="47">
        <f t="shared" si="14"/>
        <v>13.4527587890625</v>
      </c>
      <c r="U88" s="47">
        <f t="shared" si="15"/>
        <v>0.38212960422767089</v>
      </c>
    </row>
    <row r="89" spans="2:26" ht="17.399999999999999" customHeight="1" x14ac:dyDescent="0.3">
      <c r="B89" s="64">
        <v>18</v>
      </c>
      <c r="C89" s="2">
        <v>0.85</v>
      </c>
      <c r="D89" s="2">
        <f t="shared" si="0"/>
        <v>15.2464599609375</v>
      </c>
      <c r="E89" s="35">
        <f t="shared" si="8"/>
        <v>3.3047948003077018E-4</v>
      </c>
      <c r="F89" s="59">
        <f t="shared" si="1"/>
        <v>0.83105752882122119</v>
      </c>
      <c r="G89" s="37">
        <f t="shared" si="2"/>
        <v>3.0528898321247559E-3</v>
      </c>
      <c r="H89" s="37">
        <f t="shared" si="9"/>
        <v>2.7224103520939857E-3</v>
      </c>
      <c r="I89" s="39">
        <f t="shared" si="3"/>
        <v>1.7299709048706952E-2</v>
      </c>
      <c r="J89" s="39">
        <f t="shared" si="4"/>
        <v>1.7630188528737722E-2</v>
      </c>
      <c r="K89" s="43">
        <f t="shared" si="13"/>
        <v>7.8423039227464288E-8</v>
      </c>
      <c r="L89" s="43">
        <f t="shared" si="5"/>
        <v>1.1417218837702412E-7</v>
      </c>
      <c r="M89" s="45">
        <f t="shared" si="6"/>
        <v>6.4759482401972118E-11</v>
      </c>
      <c r="N89" s="45">
        <f t="shared" si="7"/>
        <v>1.5441754055303366E-4</v>
      </c>
      <c r="O89" s="65">
        <f t="shared" si="10"/>
        <v>3.8113033689438178</v>
      </c>
      <c r="Q89" s="47">
        <f t="shared" si="11"/>
        <v>14.79803466796875</v>
      </c>
      <c r="R89" s="47">
        <f t="shared" si="12"/>
        <v>2.9003041902649191</v>
      </c>
      <c r="S89" s="48"/>
      <c r="T89" s="47">
        <f t="shared" si="14"/>
        <v>14.349609375</v>
      </c>
      <c r="U89" s="47">
        <f t="shared" si="15"/>
        <v>0.6112684113786816</v>
      </c>
    </row>
    <row r="90" spans="2:26" ht="17.399999999999999" customHeight="1" x14ac:dyDescent="0.3">
      <c r="B90" s="64">
        <v>19</v>
      </c>
      <c r="C90" s="2">
        <v>0.9</v>
      </c>
      <c r="D90" s="2">
        <f t="shared" si="0"/>
        <v>16.143310546875</v>
      </c>
      <c r="E90" s="35">
        <f t="shared" si="8"/>
        <v>2.0927518900712774E-4</v>
      </c>
      <c r="F90" s="59">
        <f t="shared" si="1"/>
        <v>0.82287991899775792</v>
      </c>
      <c r="G90" s="37">
        <f t="shared" si="2"/>
        <v>2.015232921625509E-3</v>
      </c>
      <c r="H90" s="37">
        <f t="shared" si="9"/>
        <v>1.8059577326183813E-3</v>
      </c>
      <c r="I90" s="39">
        <f t="shared" si="3"/>
        <v>1.8137096294629583E-2</v>
      </c>
      <c r="J90" s="39">
        <f t="shared" si="4"/>
        <v>1.8346371483636711E-2</v>
      </c>
      <c r="K90" s="43">
        <f t="shared" si="13"/>
        <v>1.1417218837702412E-7</v>
      </c>
      <c r="L90" s="43">
        <f t="shared" si="5"/>
        <v>1.8637720060457436E-7</v>
      </c>
      <c r="M90" s="45">
        <f t="shared" si="6"/>
        <v>1.0158804468273511E-10</v>
      </c>
      <c r="N90" s="45">
        <f t="shared" si="7"/>
        <v>9.8436779950146044E-5</v>
      </c>
      <c r="O90" s="65">
        <f t="shared" si="10"/>
        <v>4.0068426013157987</v>
      </c>
      <c r="Q90" s="47">
        <f t="shared" si="11"/>
        <v>15.69488525390625</v>
      </c>
      <c r="R90" s="47">
        <f t="shared" si="12"/>
        <v>3.9107846474396144</v>
      </c>
      <c r="S90" s="48"/>
      <c r="T90" s="47">
        <f t="shared" si="14"/>
        <v>15.2464599609375</v>
      </c>
      <c r="U90" s="47">
        <f t="shared" si="15"/>
        <v>1.1266987757145914</v>
      </c>
    </row>
    <row r="91" spans="2:26" ht="17.399999999999999" customHeight="1" x14ac:dyDescent="0.3">
      <c r="B91" s="64">
        <v>20</v>
      </c>
      <c r="C91" s="2">
        <v>0.92</v>
      </c>
      <c r="D91" s="2">
        <f t="shared" si="0"/>
        <v>16.502050781250002</v>
      </c>
      <c r="E91" s="35">
        <f>(-(I91+$G$12+$G$14^0.5)+((I91+$G$12+$G$14^0.5)^2-4*1*(-$G$12*G91+I91*$G$14^0.5))^0.5)</f>
        <v>1.6409733248657493E-4</v>
      </c>
      <c r="F91" s="59">
        <f t="shared" si="1"/>
        <v>0.819653760321714</v>
      </c>
      <c r="G91" s="37">
        <f t="shared" si="2"/>
        <v>1.6058656472223002E-3</v>
      </c>
      <c r="H91" s="37">
        <f t="shared" si="9"/>
        <v>1.4417683147357253E-3</v>
      </c>
      <c r="I91" s="39">
        <f t="shared" si="3"/>
        <v>1.8467454943056478E-2</v>
      </c>
      <c r="J91" s="39">
        <f t="shared" si="4"/>
        <v>1.8631552275543053E-2</v>
      </c>
      <c r="K91" s="43">
        <f t="shared" si="13"/>
        <v>1.8637720060457436E-7</v>
      </c>
      <c r="L91" s="43">
        <f t="shared" si="5"/>
        <v>2.4077012696726031E-7</v>
      </c>
      <c r="M91" s="45">
        <f t="shared" si="6"/>
        <v>1.2922708929803467E-10</v>
      </c>
      <c r="N91" s="45">
        <f t="shared" si="7"/>
        <v>7.7383155918161534E-5</v>
      </c>
      <c r="O91" s="65">
        <f t="shared" si="10"/>
        <v>4.1113535624166095</v>
      </c>
      <c r="Q91" s="47">
        <f t="shared" si="11"/>
        <v>16.322680664062503</v>
      </c>
      <c r="R91" s="47">
        <f t="shared" si="12"/>
        <v>5.2255480550405364</v>
      </c>
      <c r="S91" s="48"/>
      <c r="T91" s="47">
        <f t="shared" si="14"/>
        <v>16.008782958984376</v>
      </c>
      <c r="U91" s="47">
        <f t="shared" si="15"/>
        <v>2.0942545713637646</v>
      </c>
    </row>
    <row r="92" spans="2:26" ht="17.399999999999999" customHeight="1" x14ac:dyDescent="0.3">
      <c r="B92" s="64">
        <v>21</v>
      </c>
      <c r="C92" s="2">
        <v>0.94</v>
      </c>
      <c r="D92" s="2">
        <f t="shared" si="0"/>
        <v>16.860791015625001</v>
      </c>
      <c r="E92" s="35">
        <f>(-(I92+$G$12+$G$14^0.5)+((I92+$G$12+$G$14^0.5)^2-4*1*(-$G$12*G92+I92*$G$14^0.5))^0.5)</f>
        <v>1.2065237320330394E-4</v>
      </c>
      <c r="F92" s="59">
        <f t="shared" si="1"/>
        <v>0.81645279961983919</v>
      </c>
      <c r="G92" s="37">
        <f t="shared" si="2"/>
        <v>1.1996957437613938E-3</v>
      </c>
      <c r="H92" s="37">
        <f t="shared" si="9"/>
        <v>1.0790433705580899E-3</v>
      </c>
      <c r="I92" s="39">
        <f t="shared" si="3"/>
        <v>1.8795233318928468E-2</v>
      </c>
      <c r="J92" s="39">
        <f t="shared" si="4"/>
        <v>1.8915885692131772E-2</v>
      </c>
      <c r="K92" s="43">
        <f t="shared" si="13"/>
        <v>2.4077012696726031E-7</v>
      </c>
      <c r="L92" s="43">
        <f t="shared" si="5"/>
        <v>3.3159995351505937E-7</v>
      </c>
      <c r="M92" s="45">
        <f t="shared" si="6"/>
        <v>1.7530236696925655E-10</v>
      </c>
      <c r="N92" s="45">
        <f t="shared" si="7"/>
        <v>5.7044295367407898E-5</v>
      </c>
      <c r="O92" s="65">
        <f t="shared" si="10"/>
        <v>4.2437877800683932</v>
      </c>
      <c r="Q92" s="47">
        <f t="shared" si="11"/>
        <v>16.681420898437501</v>
      </c>
      <c r="R92" s="47">
        <f t="shared" si="12"/>
        <v>6.6217108825892135</v>
      </c>
      <c r="S92" s="48"/>
      <c r="T92" s="47">
        <f t="shared" si="14"/>
        <v>16.502050781250002</v>
      </c>
      <c r="U92" s="47">
        <f t="shared" si="15"/>
        <v>3.8918490143183639</v>
      </c>
    </row>
    <row r="93" spans="2:26" ht="17.399999999999999" customHeight="1" x14ac:dyDescent="0.3">
      <c r="B93" s="64">
        <v>22</v>
      </c>
      <c r="C93" s="2">
        <v>0.96</v>
      </c>
      <c r="D93" s="2">
        <f t="shared" si="0"/>
        <v>17.219531249999999</v>
      </c>
      <c r="E93" s="35">
        <f t="shared" si="8"/>
        <v>7.8846671387394068E-5</v>
      </c>
      <c r="F93" s="59">
        <f t="shared" si="1"/>
        <v>0.81327674282664497</v>
      </c>
      <c r="G93" s="37">
        <f t="shared" si="2"/>
        <v>7.9668589727298193E-4</v>
      </c>
      <c r="H93" s="37">
        <f t="shared" si="9"/>
        <v>7.1783922588558786E-4</v>
      </c>
      <c r="I93" s="39">
        <f t="shared" si="3"/>
        <v>1.9120461534551554E-2</v>
      </c>
      <c r="J93" s="39">
        <f t="shared" si="4"/>
        <v>1.9199308205938948E-2</v>
      </c>
      <c r="K93" s="43">
        <f t="shared" si="13"/>
        <v>3.3159995351505937E-7</v>
      </c>
      <c r="L93" s="43">
        <f t="shared" si="5"/>
        <v>5.1350416958878438E-7</v>
      </c>
      <c r="M93" s="45">
        <f t="shared" si="6"/>
        <v>2.6745972515298306E-10</v>
      </c>
      <c r="N93" s="45">
        <f t="shared" si="7"/>
        <v>3.7388806835422213E-5</v>
      </c>
      <c r="O93" s="65">
        <f t="shared" si="10"/>
        <v>4.4272583939808507</v>
      </c>
      <c r="Q93" s="47">
        <f t="shared" si="11"/>
        <v>17.0401611328125</v>
      </c>
      <c r="R93" s="47">
        <f t="shared" si="12"/>
        <v>9.173530695622869</v>
      </c>
      <c r="S93" s="48"/>
      <c r="T93" s="47">
        <f>AVERAGE(Q92:Q93)</f>
        <v>16.860791015625001</v>
      </c>
      <c r="U93" s="47">
        <f>(R93-R92)/(Q93-Q92)</f>
        <v>7.1132802192635731</v>
      </c>
    </row>
    <row r="94" spans="2:26" ht="17.399999999999999" customHeight="1" x14ac:dyDescent="0.3">
      <c r="B94" s="64">
        <v>23</v>
      </c>
      <c r="C94" s="2">
        <v>0.98</v>
      </c>
      <c r="D94" s="2">
        <f t="shared" si="0"/>
        <v>17.578271484375001</v>
      </c>
      <c r="E94" s="35">
        <f>(-(I94+$G$12+$G$14^0.5)+((I94+$G$12+$G$14^0.5)^2-4*1*(-$G$12*G94+I94*$G$14^0.5))^0.5)</f>
        <v>3.8592917538205623E-5</v>
      </c>
      <c r="F94" s="59">
        <f t="shared" si="1"/>
        <v>0.81012530043465125</v>
      </c>
      <c r="G94" s="37">
        <f t="shared" si="2"/>
        <v>3.9679937215289382E-4</v>
      </c>
      <c r="H94" s="37">
        <f t="shared" si="9"/>
        <v>3.582064546146882E-4</v>
      </c>
      <c r="I94" s="39">
        <f t="shared" si="3"/>
        <v>1.9443169235491716E-2</v>
      </c>
      <c r="J94" s="39">
        <f t="shared" si="4"/>
        <v>1.9481762153029922E-2</v>
      </c>
      <c r="K94" s="43">
        <f t="shared" si="13"/>
        <v>5.1350416958878438E-7</v>
      </c>
      <c r="L94" s="43">
        <f>$G$13*J94/N94</f>
        <v>1.0595539295780911E-6</v>
      </c>
      <c r="M94" s="45">
        <f t="shared" si="6"/>
        <v>5.4386965678733683E-10</v>
      </c>
      <c r="N94" s="45">
        <f t="shared" si="7"/>
        <v>1.8386758435965083E-5</v>
      </c>
      <c r="O94" s="65">
        <f t="shared" si="10"/>
        <v>4.7354948296233674</v>
      </c>
      <c r="Q94" s="47">
        <f t="shared" si="11"/>
        <v>17.398901367187499</v>
      </c>
      <c r="R94" s="47">
        <f t="shared" si="12"/>
        <v>15.41182178212582</v>
      </c>
      <c r="S94" s="48"/>
      <c r="T94" s="47">
        <f>AVERAGE(Q93:Q94)</f>
        <v>17.219531249999999</v>
      </c>
      <c r="U94" s="47">
        <f>(R94-R93)/(Q94-Q93)</f>
        <v>17.389438063370211</v>
      </c>
    </row>
    <row r="95" spans="2:26" ht="33.6" customHeight="1" x14ac:dyDescent="0.55000000000000004">
      <c r="B95" s="66" t="s">
        <v>8</v>
      </c>
      <c r="C95" s="46">
        <v>1</v>
      </c>
      <c r="D95" s="46">
        <f t="shared" si="0"/>
        <v>17.93701171875</v>
      </c>
      <c r="E95" s="112">
        <f>(-(K95+$G$13+$G$14^0.5)+((K95+$G$13+$G$14^0.5)^2-4*1*(-$G$13*I95+K95*$G$14^0.5))^0.5)</f>
        <v>8.7907795428323804E-6</v>
      </c>
      <c r="F95" s="60">
        <f t="shared" si="1"/>
        <v>0.80699818740641505</v>
      </c>
      <c r="G95" s="60">
        <f t="shared" si="2"/>
        <v>0</v>
      </c>
      <c r="H95" s="40">
        <f>G95+E95</f>
        <v>8.7907795428323804E-6</v>
      </c>
      <c r="I95" s="40">
        <f>($D$9-(1-C95)*$D$9)*F95</f>
        <v>1.9763385609583104E-2</v>
      </c>
      <c r="J95" s="40">
        <f>I95-2*E95</f>
        <v>1.9745804050497438E-2</v>
      </c>
      <c r="K95" s="40">
        <v>0</v>
      </c>
      <c r="L95" s="40">
        <f>E95</f>
        <v>8.7907795428323804E-6</v>
      </c>
      <c r="M95" s="40">
        <f>$G$14/N95</f>
        <v>9.9999999999999986E-9</v>
      </c>
      <c r="N95" s="40">
        <f>(G12*G13)^0.5</f>
        <v>1.0000000000000002E-6</v>
      </c>
      <c r="O95" s="114">
        <f>-LOG10(N95)</f>
        <v>6</v>
      </c>
      <c r="P95" s="11"/>
      <c r="Q95" s="85">
        <f>AVERAGE(D94:D95)</f>
        <v>17.757641601562501</v>
      </c>
      <c r="R95" s="85">
        <f>(O95-O94)/(C95-C94)</f>
        <v>63.225258518831573</v>
      </c>
      <c r="S95" s="86"/>
      <c r="T95" s="85">
        <f>AVERAGE(Q94:Q95)</f>
        <v>17.578271484375001</v>
      </c>
      <c r="U95" s="85">
        <f>(R95-R94)/(Q95-Q94)</f>
        <v>133.28150052643636</v>
      </c>
    </row>
    <row r="96" spans="2:26" ht="17.399999999999999" customHeight="1" x14ac:dyDescent="0.3">
      <c r="B96" s="64">
        <v>27</v>
      </c>
      <c r="C96" s="2">
        <v>1.02</v>
      </c>
      <c r="D96" s="2">
        <f t="shared" si="0"/>
        <v>18.295751953124999</v>
      </c>
      <c r="E96" s="61">
        <f>(-(K96+$G$13+$G$14^0.5)+((K96+$G$13+$G$14^0.5)^2-4*1*(-$G$13*I96+K96*$G$14^0.5))^0.5)</f>
        <v>-1.0198704751502924E-7</v>
      </c>
      <c r="F96" s="59">
        <f t="shared" si="1"/>
        <v>0.80389512308859012</v>
      </c>
      <c r="G96" s="37">
        <f>H95</f>
        <v>8.7907795428323804E-6</v>
      </c>
      <c r="H96" s="37">
        <f>J96*N96/$G$12</f>
        <v>9.4564347461396859E-7</v>
      </c>
      <c r="I96" s="39">
        <f>($D$9-(C96-1)*$D$9)*F96</f>
        <v>1.9293643733150779E-2</v>
      </c>
      <c r="J96" s="39">
        <f>I96-E96</f>
        <v>1.9293745720198294E-2</v>
      </c>
      <c r="K96" s="43">
        <f>((C96-1)*$D$9)*F96</f>
        <v>3.9374783128879177E-4</v>
      </c>
      <c r="L96" s="43">
        <f>K96+E96</f>
        <v>3.9364584424127674E-4</v>
      </c>
      <c r="M96" s="45">
        <f t="shared" si="6"/>
        <v>2.040276937148475E-7</v>
      </c>
      <c r="N96" s="45">
        <f>$G$13*J96/L96</f>
        <v>4.9012954162860688E-8</v>
      </c>
      <c r="O96" s="65">
        <f>-LOG10(N96)</f>
        <v>7.3096891204222043</v>
      </c>
      <c r="Q96" s="47">
        <f>AVERAGE(D95:D96)</f>
        <v>18.116381835937499</v>
      </c>
      <c r="R96" s="47">
        <f>(O96-O95)/(C96-C95)</f>
        <v>65.484456021110162</v>
      </c>
      <c r="S96" s="48"/>
      <c r="T96" s="47">
        <f>AVERAGE(Q95:Q96)</f>
        <v>17.93701171875</v>
      </c>
      <c r="U96" s="47">
        <f>(R96-R95)/(Q96-Q95)</f>
        <v>6.297586068690034</v>
      </c>
    </row>
    <row r="97" spans="2:21" ht="17.399999999999999" customHeight="1" x14ac:dyDescent="0.3">
      <c r="B97" s="64">
        <v>28</v>
      </c>
      <c r="C97" s="2">
        <v>1.04</v>
      </c>
      <c r="D97" s="2">
        <f t="shared" si="0"/>
        <v>18.654492187500001</v>
      </c>
      <c r="E97" s="61">
        <f>(-(K97+$G$13+$G$14^0.5)+((K97+$G$13+$G$14^0.5)^2-4*1*(-$G$13*I97+K97*$G$14^0.5))^0.5)</f>
        <v>-1.5199515570696407E-7</v>
      </c>
      <c r="F97" s="59">
        <f t="shared" si="1"/>
        <v>0.80081583112796162</v>
      </c>
      <c r="G97" s="37">
        <f t="shared" ref="G97:G121" si="16">H96</f>
        <v>9.4564347461396859E-7</v>
      </c>
      <c r="H97" s="37">
        <f t="shared" ref="H96:H121" si="17">J97*N97/$G$12</f>
        <v>4.5195487577429121E-7</v>
      </c>
      <c r="I97" s="39">
        <f t="shared" ref="I96:I121" si="18">($D$9-(C97-1)*$D$9)*F97</f>
        <v>1.8827500516150831E-2</v>
      </c>
      <c r="J97" s="39">
        <f>I97-E97</f>
        <v>1.8827652511306539E-2</v>
      </c>
      <c r="K97" s="43">
        <f t="shared" ref="K96:K121" si="19">((C97-1)*$D$9)*F97</f>
        <v>7.8447918817295187E-4</v>
      </c>
      <c r="L97" s="43">
        <f>K97+E97</f>
        <v>7.843271930172449E-4</v>
      </c>
      <c r="M97" s="45">
        <f t="shared" si="6"/>
        <v>4.1658257318390282E-7</v>
      </c>
      <c r="N97" s="45">
        <f>$G$13*J97/L97</f>
        <v>2.4004844762398261E-8</v>
      </c>
      <c r="O97" s="65">
        <f>-LOG10(N97)</f>
        <v>7.6197010982368614</v>
      </c>
      <c r="Q97" s="47">
        <f t="shared" si="11"/>
        <v>18.475122070312501</v>
      </c>
      <c r="R97" s="47">
        <f t="shared" si="12"/>
        <v>15.500598890732839</v>
      </c>
      <c r="S97" s="48"/>
      <c r="T97" s="47">
        <f>AVERAGE(Q96:Q97)</f>
        <v>18.295751953124999</v>
      </c>
      <c r="U97" s="47">
        <f>(R97-R96)/(Q97-Q96)</f>
        <v>-139.33161753506485</v>
      </c>
    </row>
    <row r="98" spans="2:21" ht="17.399999999999999" customHeight="1" x14ac:dyDescent="0.3">
      <c r="B98" s="64">
        <v>29</v>
      </c>
      <c r="C98" s="2">
        <v>1.06</v>
      </c>
      <c r="D98" s="2">
        <f t="shared" si="0"/>
        <v>19.013232421874999</v>
      </c>
      <c r="E98" s="61">
        <f>(-(K98+$G$13+$G$14^0.5)+((K98+$G$13+$G$14^0.5)^2-4*1*(-$G$13*I98+K98*$G$14^0.5))^0.5)</f>
        <v>-1.6866426843695735E-7</v>
      </c>
      <c r="F98" s="59">
        <f t="shared" si="1"/>
        <v>0.79776003938940188</v>
      </c>
      <c r="G98" s="37">
        <f t="shared" si="16"/>
        <v>4.5195487577429121E-7</v>
      </c>
      <c r="H98" s="37">
        <f t="shared" si="17"/>
        <v>2.8776368721351425E-7</v>
      </c>
      <c r="I98" s="39">
        <f t="shared" si="18"/>
        <v>1.8364914762767665E-2</v>
      </c>
      <c r="J98" s="39">
        <f t="shared" ref="J98:J117" si="20">I98-E98</f>
        <v>1.8365083427036102E-2</v>
      </c>
      <c r="K98" s="43">
        <f t="shared" si="19"/>
        <v>1.1722286018787881E-3</v>
      </c>
      <c r="L98" s="43">
        <f t="shared" ref="L98:L117" si="21">K98+E98</f>
        <v>1.1720599376103512E-3</v>
      </c>
      <c r="M98" s="45">
        <f t="shared" si="6"/>
        <v>6.3820017059378372E-7</v>
      </c>
      <c r="N98" s="45">
        <f t="shared" ref="N96:N121" si="22">$G$13*J98/L98</f>
        <v>1.5669065068873242E-8</v>
      </c>
      <c r="O98" s="65">
        <f t="shared" ref="O98:O117" si="23">-LOG10(N98)</f>
        <v>7.8049569159463807</v>
      </c>
      <c r="Q98" s="47">
        <f t="shared" si="11"/>
        <v>18.8338623046875</v>
      </c>
      <c r="R98" s="47">
        <f t="shared" si="12"/>
        <v>9.26279088547596</v>
      </c>
      <c r="S98" s="48"/>
      <c r="T98" s="47">
        <f t="shared" si="14"/>
        <v>18.654492187500001</v>
      </c>
      <c r="U98" s="47">
        <f t="shared" si="15"/>
        <v>-17.388091458780643</v>
      </c>
    </row>
    <row r="99" spans="2:21" ht="17.399999999999999" customHeight="1" x14ac:dyDescent="0.3">
      <c r="B99" s="64">
        <v>30</v>
      </c>
      <c r="C99" s="2">
        <v>1.08</v>
      </c>
      <c r="D99" s="2">
        <f t="shared" si="0"/>
        <v>19.371972656250001</v>
      </c>
      <c r="E99" s="61">
        <f>(-(K99+$G$13+$G$14^0.5)+((K99+$G$13+$G$14^0.5)^2-4*1*(-$G$13*I99+K99*$G$14^0.5))^0.5)</f>
        <v>-1.769985789560214E-7</v>
      </c>
      <c r="F99" s="59">
        <f t="shared" si="1"/>
        <v>0.79472747987569969</v>
      </c>
      <c r="G99" s="37">
        <f t="shared" si="16"/>
        <v>2.8776368721351425E-7</v>
      </c>
      <c r="H99" s="37">
        <f t="shared" si="17"/>
        <v>2.0594471006480497E-7</v>
      </c>
      <c r="I99" s="39">
        <f t="shared" si="18"/>
        <v>1.7905845903583413E-2</v>
      </c>
      <c r="J99" s="39">
        <f t="shared" si="20"/>
        <v>1.790602290216237E-2</v>
      </c>
      <c r="K99" s="43">
        <f t="shared" si="19"/>
        <v>1.5570300785724721E-3</v>
      </c>
      <c r="L99" s="43">
        <f t="shared" si="21"/>
        <v>1.5568530799935161E-3</v>
      </c>
      <c r="M99" s="45">
        <f t="shared" si="6"/>
        <v>8.694577732308759E-7</v>
      </c>
      <c r="N99" s="45">
        <f t="shared" si="22"/>
        <v>1.1501421124616938E-8</v>
      </c>
      <c r="O99" s="65">
        <f t="shared" si="23"/>
        <v>7.9392484945639854</v>
      </c>
      <c r="Q99" s="47">
        <f t="shared" si="11"/>
        <v>19.192602539062499</v>
      </c>
      <c r="R99" s="47">
        <f t="shared" si="12"/>
        <v>6.7145789308802266</v>
      </c>
      <c r="S99" s="48"/>
      <c r="T99" s="47">
        <f t="shared" si="14"/>
        <v>19.013232421874999</v>
      </c>
      <c r="U99" s="47">
        <f t="shared" si="15"/>
        <v>-7.1032231972398021</v>
      </c>
    </row>
    <row r="100" spans="2:21" ht="17.399999999999999" customHeight="1" x14ac:dyDescent="0.3">
      <c r="B100" s="64">
        <v>31</v>
      </c>
      <c r="C100" s="2">
        <v>1.1000000000000001</v>
      </c>
      <c r="D100" s="2">
        <f t="shared" si="0"/>
        <v>19.730712890625</v>
      </c>
      <c r="E100" s="61">
        <f t="shared" ref="E97:E121" si="24">(-(K100+$G$13+$G$14^0.5)+((K100+$G$13+$G$14^0.5)^2-4*1*(-$G$13*I100+K100*$G$14^0.5))^0.5)</f>
        <v>-1.819990612926016E-7</v>
      </c>
      <c r="F100" s="59">
        <f t="shared" si="1"/>
        <v>0.79171788864920867</v>
      </c>
      <c r="G100" s="37">
        <f t="shared" si="16"/>
        <v>2.0594471006480497E-7</v>
      </c>
      <c r="H100" s="37">
        <f t="shared" si="17"/>
        <v>1.5707030546904175E-7</v>
      </c>
      <c r="I100" s="39">
        <f t="shared" si="18"/>
        <v>1.7450253983717207E-2</v>
      </c>
      <c r="J100" s="39">
        <f t="shared" si="20"/>
        <v>1.7450435982778501E-2</v>
      </c>
      <c r="K100" s="43">
        <f t="shared" si="19"/>
        <v>1.9389171093019139E-3</v>
      </c>
      <c r="L100" s="43">
        <f t="shared" si="21"/>
        <v>1.9387351102406213E-3</v>
      </c>
      <c r="M100" s="45">
        <f t="shared" si="6"/>
        <v>1.1109952279438297E-6</v>
      </c>
      <c r="N100" s="45">
        <f t="shared" si="22"/>
        <v>9.0009387515619322E-9</v>
      </c>
      <c r="O100" s="65">
        <f t="shared" si="23"/>
        <v>8.0457121935204245</v>
      </c>
      <c r="Q100" s="47">
        <f t="shared" si="11"/>
        <v>19.551342773437501</v>
      </c>
      <c r="R100" s="47">
        <f t="shared" si="12"/>
        <v>5.3231849478219528</v>
      </c>
      <c r="S100" s="48"/>
      <c r="T100" s="47">
        <f t="shared" si="14"/>
        <v>19.371972656250001</v>
      </c>
      <c r="U100" s="47">
        <f t="shared" si="15"/>
        <v>-3.8785557061430893</v>
      </c>
    </row>
    <row r="101" spans="2:21" ht="17.399999999999999" customHeight="1" x14ac:dyDescent="0.3">
      <c r="B101" s="64">
        <v>32</v>
      </c>
      <c r="C101" s="2">
        <v>1.1499999999999999</v>
      </c>
      <c r="D101" s="2">
        <f t="shared" si="0"/>
        <v>20.6275634765625</v>
      </c>
      <c r="E101" s="61">
        <f t="shared" si="24"/>
        <v>-1.8866623009141867E-7</v>
      </c>
      <c r="F101" s="59">
        <f t="shared" si="1"/>
        <v>0.78429270048673638</v>
      </c>
      <c r="G101" s="37">
        <f t="shared" si="16"/>
        <v>1.5707030546904175E-7</v>
      </c>
      <c r="H101" s="37">
        <f t="shared" si="17"/>
        <v>9.2523494713548396E-8</v>
      </c>
      <c r="I101" s="39">
        <f t="shared" si="18"/>
        <v>1.6326228999682148E-2</v>
      </c>
      <c r="J101" s="39">
        <f t="shared" si="20"/>
        <v>1.6326417665912238E-2</v>
      </c>
      <c r="K101" s="43">
        <f t="shared" si="19"/>
        <v>2.8810992352380246E-3</v>
      </c>
      <c r="L101" s="43">
        <f t="shared" si="21"/>
        <v>2.8809105690079332E-3</v>
      </c>
      <c r="M101" s="45">
        <f t="shared" si="6"/>
        <v>1.7645699307466309E-6</v>
      </c>
      <c r="N101" s="45">
        <f t="shared" si="22"/>
        <v>5.6671032560147762E-9</v>
      </c>
      <c r="O101" s="65">
        <f t="shared" si="23"/>
        <v>8.2466388743341685</v>
      </c>
      <c r="Q101" s="47">
        <f t="shared" si="11"/>
        <v>20.17913818359375</v>
      </c>
      <c r="R101" s="47">
        <f t="shared" si="12"/>
        <v>4.0185336162748939</v>
      </c>
      <c r="S101" s="48"/>
      <c r="T101" s="47">
        <f t="shared" si="14"/>
        <v>19.865240478515624</v>
      </c>
      <c r="U101" s="47">
        <f t="shared" si="15"/>
        <v>-2.0781472920013062</v>
      </c>
    </row>
    <row r="102" spans="2:21" ht="17.399999999999999" customHeight="1" x14ac:dyDescent="0.3">
      <c r="B102" s="64">
        <v>33</v>
      </c>
      <c r="C102" s="2">
        <v>1.2</v>
      </c>
      <c r="D102" s="2">
        <f t="shared" si="0"/>
        <v>21.5244140625</v>
      </c>
      <c r="E102" s="61">
        <f t="shared" si="24"/>
        <v>-1.9199974774560674E-7</v>
      </c>
      <c r="F102" s="59">
        <f t="shared" si="1"/>
        <v>0.7770054936716545</v>
      </c>
      <c r="G102" s="37">
        <f t="shared" si="16"/>
        <v>9.2523494713548396E-8</v>
      </c>
      <c r="H102" s="37">
        <f t="shared" si="17"/>
        <v>6.0896974764176149E-8</v>
      </c>
      <c r="I102" s="39">
        <f t="shared" si="18"/>
        <v>1.5223091632015056E-2</v>
      </c>
      <c r="J102" s="39">
        <f t="shared" si="20"/>
        <v>1.5223283631762802E-2</v>
      </c>
      <c r="K102" s="43">
        <f t="shared" si="19"/>
        <v>3.8057729080037636E-3</v>
      </c>
      <c r="L102" s="43">
        <f t="shared" si="21"/>
        <v>3.805580908256018E-3</v>
      </c>
      <c r="M102" s="45">
        <f t="shared" si="6"/>
        <v>2.4998423469663387E-6</v>
      </c>
      <c r="N102" s="45">
        <f t="shared" si="22"/>
        <v>4.0002522607617277E-9</v>
      </c>
      <c r="O102" s="65">
        <f t="shared" si="23"/>
        <v>8.3979126206714376</v>
      </c>
      <c r="Q102" s="47">
        <f t="shared" si="11"/>
        <v>21.07598876953125</v>
      </c>
      <c r="R102" s="47">
        <f t="shared" si="12"/>
        <v>3.0254749267453791</v>
      </c>
      <c r="S102" s="48"/>
      <c r="T102" s="47">
        <f t="shared" si="14"/>
        <v>20.6275634765625</v>
      </c>
      <c r="U102" s="47">
        <f t="shared" si="15"/>
        <v>-1.1072732795189582</v>
      </c>
    </row>
    <row r="103" spans="2:21" ht="17.399999999999999" customHeight="1" x14ac:dyDescent="0.3">
      <c r="B103" s="64">
        <v>34</v>
      </c>
      <c r="C103" s="2">
        <v>1.25</v>
      </c>
      <c r="D103" s="2">
        <f t="shared" si="0"/>
        <v>22.4212646484375</v>
      </c>
      <c r="E103" s="61">
        <f t="shared" si="24"/>
        <v>-1.9399983536023263E-7</v>
      </c>
      <c r="F103" s="59">
        <f t="shared" si="1"/>
        <v>0.76985245747580111</v>
      </c>
      <c r="G103" s="37">
        <f t="shared" si="16"/>
        <v>6.0896974764176149E-8</v>
      </c>
      <c r="H103" s="37">
        <f t="shared" si="17"/>
        <v>4.2423705163353499E-8</v>
      </c>
      <c r="I103" s="39">
        <f t="shared" si="18"/>
        <v>1.4140265012686778E-2</v>
      </c>
      <c r="J103" s="39">
        <f t="shared" si="20"/>
        <v>1.4140459012522137E-2</v>
      </c>
      <c r="K103" s="43">
        <f t="shared" si="19"/>
        <v>4.7134216708955923E-3</v>
      </c>
      <c r="L103" s="43">
        <f t="shared" si="21"/>
        <v>4.7132276710602321E-3</v>
      </c>
      <c r="M103" s="45">
        <f t="shared" si="6"/>
        <v>3.3331504068477656E-6</v>
      </c>
      <c r="N103" s="45">
        <f t="shared" si="22"/>
        <v>3.0001646428722735E-9</v>
      </c>
      <c r="O103" s="65">
        <f t="shared" si="23"/>
        <v>8.5228549114373724</v>
      </c>
      <c r="Q103" s="47">
        <f t="shared" si="11"/>
        <v>21.97283935546875</v>
      </c>
      <c r="R103" s="47">
        <f t="shared" si="12"/>
        <v>2.4988458153186932</v>
      </c>
      <c r="S103" s="48"/>
      <c r="T103" s="47">
        <f t="shared" si="14"/>
        <v>21.5244140625</v>
      </c>
      <c r="U103" s="47">
        <f t="shared" si="15"/>
        <v>-0.58719826879099102</v>
      </c>
    </row>
    <row r="104" spans="2:21" ht="17.399999999999999" customHeight="1" x14ac:dyDescent="0.3">
      <c r="B104" s="64">
        <v>35</v>
      </c>
      <c r="C104" s="2">
        <v>1.3</v>
      </c>
      <c r="D104" s="2">
        <f t="shared" ref="D104:D140" si="25">C104*$G$15</f>
        <v>23.318115234375</v>
      </c>
      <c r="E104" s="61">
        <f t="shared" si="24"/>
        <v>-1.9533321715496654E-7</v>
      </c>
      <c r="F104" s="59">
        <f t="shared" ref="F104:F140" si="26">$D$11/($D$11+D104)</f>
        <v>0.76282992021573781</v>
      </c>
      <c r="G104" s="37">
        <f t="shared" si="16"/>
        <v>4.2423705163353499E-8</v>
      </c>
      <c r="H104" s="37">
        <f t="shared" si="17"/>
        <v>3.0515426196778111E-8</v>
      </c>
      <c r="I104" s="39">
        <f t="shared" si="18"/>
        <v>1.3077193322258393E-2</v>
      </c>
      <c r="J104" s="39">
        <f t="shared" si="20"/>
        <v>1.3077388655475548E-2</v>
      </c>
      <c r="K104" s="43">
        <f t="shared" si="19"/>
        <v>5.6045114238250267E-3</v>
      </c>
      <c r="L104" s="43">
        <f t="shared" si="21"/>
        <v>5.6043160906078717E-3</v>
      </c>
      <c r="M104" s="45">
        <f t="shared" ref="M104:M121" si="27">$G$14/N104</f>
        <v>4.2855009040825025E-6</v>
      </c>
      <c r="N104" s="45">
        <f t="shared" si="22"/>
        <v>2.3334495135618072E-9</v>
      </c>
      <c r="O104" s="65">
        <f t="shared" si="23"/>
        <v>8.6320015910585379</v>
      </c>
      <c r="Q104" s="47">
        <f t="shared" si="11"/>
        <v>22.86968994140625</v>
      </c>
      <c r="R104" s="47">
        <f t="shared" si="12"/>
        <v>2.1829335924233089</v>
      </c>
      <c r="S104" s="48"/>
      <c r="T104" s="47">
        <f t="shared" si="14"/>
        <v>22.4212646484375</v>
      </c>
      <c r="U104" s="47">
        <f t="shared" si="15"/>
        <v>-0.35224621341486168</v>
      </c>
    </row>
    <row r="105" spans="2:21" ht="17.399999999999999" customHeight="1" x14ac:dyDescent="0.3">
      <c r="B105" s="64">
        <v>36</v>
      </c>
      <c r="C105" s="2">
        <v>1.35</v>
      </c>
      <c r="D105" s="2">
        <f t="shared" si="25"/>
        <v>24.2149658203125</v>
      </c>
      <c r="E105" s="61">
        <f t="shared" si="24"/>
        <v>-1.9628562773245373E-7</v>
      </c>
      <c r="F105" s="59">
        <f t="shared" si="26"/>
        <v>0.75593434296829731</v>
      </c>
      <c r="G105" s="37">
        <f t="shared" si="16"/>
        <v>3.0515426196778111E-8</v>
      </c>
      <c r="H105" s="37">
        <f t="shared" si="17"/>
        <v>2.2349039080430271E-8</v>
      </c>
      <c r="I105" s="39">
        <f t="shared" si="18"/>
        <v>1.2033340838540839E-2</v>
      </c>
      <c r="J105" s="39">
        <f t="shared" si="20"/>
        <v>1.2033537124168572E-2</v>
      </c>
      <c r="K105" s="43">
        <f t="shared" si="19"/>
        <v>6.4794912207527628E-3</v>
      </c>
      <c r="L105" s="43">
        <f t="shared" si="21"/>
        <v>6.4792949351250304E-3</v>
      </c>
      <c r="M105" s="45">
        <f t="shared" si="27"/>
        <v>5.3843644377111614E-6</v>
      </c>
      <c r="N105" s="45">
        <f t="shared" si="22"/>
        <v>1.8572294122518382E-9</v>
      </c>
      <c r="O105" s="65">
        <f t="shared" si="23"/>
        <v>8.7311344471911276</v>
      </c>
      <c r="Q105" s="47">
        <f t="shared" ref="Q105:Q136" si="28">AVERAGE(D104:D105)</f>
        <v>23.76654052734375</v>
      </c>
      <c r="R105" s="47">
        <f t="shared" ref="R105:R136" si="29">(O105-O104)/(C105-C104)</f>
        <v>1.9826571226517924</v>
      </c>
      <c r="S105" s="48"/>
      <c r="T105" s="47">
        <f t="shared" si="14"/>
        <v>23.318115234375</v>
      </c>
      <c r="U105" s="47">
        <f t="shared" si="15"/>
        <v>-0.22331085345967919</v>
      </c>
    </row>
    <row r="106" spans="2:21" ht="17.399999999999999" customHeight="1" x14ac:dyDescent="0.3">
      <c r="B106" s="64">
        <v>37</v>
      </c>
      <c r="C106" s="2">
        <v>1.4</v>
      </c>
      <c r="D106" s="2">
        <f t="shared" si="25"/>
        <v>25.11181640625</v>
      </c>
      <c r="E106" s="61">
        <f t="shared" si="24"/>
        <v>-1.9699993289001155E-7</v>
      </c>
      <c r="F106" s="59">
        <f t="shared" si="26"/>
        <v>0.74916231362392638</v>
      </c>
      <c r="G106" s="37">
        <f t="shared" si="16"/>
        <v>2.2349039080430271E-8</v>
      </c>
      <c r="H106" s="37">
        <f t="shared" si="17"/>
        <v>1.6513320837284746E-8</v>
      </c>
      <c r="I106" s="39">
        <f t="shared" si="18"/>
        <v>1.1008191036389977E-2</v>
      </c>
      <c r="J106" s="39">
        <f t="shared" si="20"/>
        <v>1.1008388036322866E-2</v>
      </c>
      <c r="K106" s="43">
        <f t="shared" si="19"/>
        <v>7.3387940242599821E-3</v>
      </c>
      <c r="L106" s="43">
        <f t="shared" si="21"/>
        <v>7.3385970243270921E-3</v>
      </c>
      <c r="M106" s="45">
        <f t="shared" si="27"/>
        <v>6.6663684093556034E-6</v>
      </c>
      <c r="N106" s="45">
        <f t="shared" si="22"/>
        <v>1.5000671108974367E-9</v>
      </c>
      <c r="O106" s="65">
        <f t="shared" si="23"/>
        <v>8.8238893107840184</v>
      </c>
      <c r="Q106" s="47">
        <f t="shared" si="28"/>
        <v>24.66339111328125</v>
      </c>
      <c r="R106" s="47">
        <f t="shared" si="29"/>
        <v>1.8550972718578218</v>
      </c>
      <c r="S106" s="48"/>
      <c r="T106" s="47">
        <f t="shared" si="14"/>
        <v>24.2149658203125</v>
      </c>
      <c r="U106" s="47">
        <f t="shared" si="15"/>
        <v>-0.14223088304126949</v>
      </c>
    </row>
    <row r="107" spans="2:21" ht="17.399999999999999" customHeight="1" x14ac:dyDescent="0.3">
      <c r="B107" s="64">
        <v>38</v>
      </c>
      <c r="C107" s="2">
        <v>1.45</v>
      </c>
      <c r="D107" s="2">
        <f t="shared" si="25"/>
        <v>26.0086669921875</v>
      </c>
      <c r="E107" s="61">
        <f t="shared" si="24"/>
        <v>-1.9755550190354854E-7</v>
      </c>
      <c r="F107" s="59">
        <f t="shared" si="26"/>
        <v>0.74251054125682958</v>
      </c>
      <c r="G107" s="37">
        <f t="shared" si="16"/>
        <v>1.6513320837284746E-8</v>
      </c>
      <c r="H107" s="37">
        <f t="shared" si="17"/>
        <v>1.2224522838560346E-8</v>
      </c>
      <c r="I107" s="39">
        <f t="shared" si="18"/>
        <v>1.0001245735458868E-2</v>
      </c>
      <c r="J107" s="39">
        <f t="shared" si="20"/>
        <v>1.0001443290960772E-2</v>
      </c>
      <c r="K107" s="43">
        <f t="shared" si="19"/>
        <v>8.1828374199208898E-3</v>
      </c>
      <c r="L107" s="43">
        <f t="shared" si="21"/>
        <v>8.1826398644189863E-3</v>
      </c>
      <c r="M107" s="45">
        <f t="shared" si="27"/>
        <v>8.1814590418308854E-6</v>
      </c>
      <c r="N107" s="45">
        <f t="shared" si="22"/>
        <v>1.2222758738840001E-9</v>
      </c>
      <c r="O107" s="65">
        <f t="shared" si="23"/>
        <v>8.9128307605553427</v>
      </c>
      <c r="Q107" s="47">
        <f t="shared" si="28"/>
        <v>25.56024169921875</v>
      </c>
      <c r="R107" s="47">
        <f t="shared" si="29"/>
        <v>1.7788289954264853</v>
      </c>
      <c r="S107" s="48"/>
      <c r="T107" s="47">
        <f t="shared" si="14"/>
        <v>25.11181640625</v>
      </c>
      <c r="U107" s="47">
        <f t="shared" si="15"/>
        <v>-8.5040114403907519E-2</v>
      </c>
    </row>
    <row r="108" spans="2:21" ht="17.399999999999999" customHeight="1" x14ac:dyDescent="0.3">
      <c r="B108" s="64">
        <v>39</v>
      </c>
      <c r="C108" s="2">
        <v>1.5</v>
      </c>
      <c r="D108" s="2">
        <f t="shared" si="25"/>
        <v>26.905517578125</v>
      </c>
      <c r="E108" s="61">
        <f t="shared" si="24"/>
        <v>-1.979999560593193E-7</v>
      </c>
      <c r="F108" s="59">
        <f t="shared" si="26"/>
        <v>0.73597585079239591</v>
      </c>
      <c r="G108" s="37">
        <f t="shared" si="16"/>
        <v>1.2224522838560346E-8</v>
      </c>
      <c r="H108" s="37">
        <f t="shared" si="17"/>
        <v>9.0126183102221923E-9</v>
      </c>
      <c r="I108" s="39">
        <f t="shared" si="18"/>
        <v>9.0120242929528881E-3</v>
      </c>
      <c r="J108" s="39">
        <f t="shared" si="20"/>
        <v>9.0122222929089474E-3</v>
      </c>
      <c r="K108" s="43">
        <f t="shared" si="19"/>
        <v>9.0120242929528881E-3</v>
      </c>
      <c r="L108" s="43">
        <f t="shared" si="21"/>
        <v>9.0118262929968287E-3</v>
      </c>
      <c r="M108" s="45">
        <f t="shared" si="27"/>
        <v>9.9995605968214633E-6</v>
      </c>
      <c r="N108" s="45">
        <f t="shared" si="22"/>
        <v>1.00004394224869E-9</v>
      </c>
      <c r="O108" s="65">
        <f t="shared" si="23"/>
        <v>8.9999809165431532</v>
      </c>
      <c r="Q108" s="47">
        <f t="shared" si="28"/>
        <v>26.45709228515625</v>
      </c>
      <c r="R108" s="47">
        <f t="shared" si="29"/>
        <v>1.7430031197562086</v>
      </c>
      <c r="S108" s="48"/>
      <c r="T108" s="47">
        <f t="shared" si="14"/>
        <v>26.0086669921875</v>
      </c>
      <c r="U108" s="47">
        <f t="shared" si="15"/>
        <v>-3.9946314616973864E-2</v>
      </c>
    </row>
    <row r="109" spans="2:21" ht="17.399999999999999" customHeight="1" x14ac:dyDescent="0.3">
      <c r="B109" s="64">
        <v>40</v>
      </c>
      <c r="C109" s="2">
        <v>1.55</v>
      </c>
      <c r="D109" s="2">
        <f t="shared" si="25"/>
        <v>27.8023681640625</v>
      </c>
      <c r="E109" s="61">
        <f t="shared" ref="E109:E116" si="30">(-($G$14/$G$13+$G$14^0.5)+(($G$14/$G$13+$G$14^0.5)^2-4*1*(-$G$14/$G$13*K109))^0.5)</f>
        <v>6.1693408900786561E-4</v>
      </c>
      <c r="F109" s="59">
        <f t="shared" si="26"/>
        <v>0.72955517795375446</v>
      </c>
      <c r="G109" s="37">
        <f t="shared" si="16"/>
        <v>9.0126183102221923E-9</v>
      </c>
      <c r="H109" s="37">
        <f t="shared" si="17"/>
        <v>8.1373666608625281E-9</v>
      </c>
      <c r="I109" s="39">
        <f t="shared" si="18"/>
        <v>8.0400628386393495E-3</v>
      </c>
      <c r="J109" s="39">
        <f t="shared" ref="J109:J116" si="31">I109+E109</f>
        <v>8.6569969276472144E-3</v>
      </c>
      <c r="K109" s="43">
        <f t="shared" si="19"/>
        <v>9.8267434694480973E-3</v>
      </c>
      <c r="L109" s="43">
        <f t="shared" ref="L109:L116" si="32">K109-E109</f>
        <v>9.2098093804402325E-3</v>
      </c>
      <c r="M109" s="45">
        <f t="shared" si="27"/>
        <v>1.0638573003332761E-5</v>
      </c>
      <c r="N109" s="45">
        <f t="shared" si="22"/>
        <v>9.3997569005422864E-10</v>
      </c>
      <c r="O109" s="65">
        <f t="shared" si="23"/>
        <v>9.0268833781150093</v>
      </c>
      <c r="Q109" s="47">
        <f t="shared" si="28"/>
        <v>27.35394287109375</v>
      </c>
      <c r="R109" s="47">
        <f t="shared" si="29"/>
        <v>0.53804923143712058</v>
      </c>
      <c r="S109" s="48"/>
      <c r="T109" s="47">
        <f t="shared" si="14"/>
        <v>26.905517578125</v>
      </c>
      <c r="U109" s="47">
        <f t="shared" si="15"/>
        <v>-1.3435391660691396</v>
      </c>
    </row>
    <row r="110" spans="2:21" ht="17.399999999999999" customHeight="1" x14ac:dyDescent="0.3">
      <c r="B110" s="64">
        <v>41</v>
      </c>
      <c r="C110" s="2">
        <v>1.6</v>
      </c>
      <c r="D110" s="2">
        <f t="shared" si="25"/>
        <v>28.69921875</v>
      </c>
      <c r="E110" s="61">
        <f t="shared" si="30"/>
        <v>6.4197117937631423E-4</v>
      </c>
      <c r="F110" s="59">
        <f t="shared" si="26"/>
        <v>0.72324556447056165</v>
      </c>
      <c r="G110" s="37">
        <f t="shared" si="16"/>
        <v>8.1373666608625281E-9</v>
      </c>
      <c r="H110" s="37">
        <f t="shared" si="17"/>
        <v>5.9792049118377992E-9</v>
      </c>
      <c r="I110" s="39">
        <f t="shared" si="18"/>
        <v>7.0849135495536213E-3</v>
      </c>
      <c r="J110" s="39">
        <f t="shared" si="31"/>
        <v>7.7268847289299353E-3</v>
      </c>
      <c r="K110" s="43">
        <f t="shared" si="19"/>
        <v>1.0627370324330435E-2</v>
      </c>
      <c r="L110" s="43">
        <f t="shared" si="32"/>
        <v>9.9853991449541206E-3</v>
      </c>
      <c r="M110" s="45">
        <f t="shared" si="27"/>
        <v>1.292293012676657E-5</v>
      </c>
      <c r="N110" s="45">
        <f t="shared" si="22"/>
        <v>7.7381831379615201E-10</v>
      </c>
      <c r="O110" s="65">
        <f t="shared" si="23"/>
        <v>9.1113609961364936</v>
      </c>
      <c r="Q110" s="47">
        <f t="shared" si="28"/>
        <v>28.25079345703125</v>
      </c>
      <c r="R110" s="47">
        <f t="shared" si="29"/>
        <v>1.6895523604296854</v>
      </c>
      <c r="S110" s="48"/>
      <c r="T110" s="47">
        <f t="shared" si="14"/>
        <v>27.8023681640625</v>
      </c>
      <c r="U110" s="47">
        <f t="shared" si="15"/>
        <v>1.2839408782778128</v>
      </c>
    </row>
    <row r="111" spans="2:21" ht="17.399999999999999" customHeight="1" x14ac:dyDescent="0.3">
      <c r="B111" s="64">
        <v>42</v>
      </c>
      <c r="C111" s="2">
        <v>1.65</v>
      </c>
      <c r="D111" s="2">
        <f t="shared" si="25"/>
        <v>29.5960693359375</v>
      </c>
      <c r="E111" s="61">
        <f t="shared" si="30"/>
        <v>6.6567563164220145E-4</v>
      </c>
      <c r="F111" s="59">
        <f t="shared" si="26"/>
        <v>0.71704415353427842</v>
      </c>
      <c r="G111" s="37">
        <f t="shared" si="16"/>
        <v>5.9792049118377992E-9</v>
      </c>
      <c r="H111" s="37">
        <f t="shared" si="17"/>
        <v>4.3169270317198898E-9</v>
      </c>
      <c r="I111" s="39">
        <f t="shared" si="18"/>
        <v>6.1461439620190692E-3</v>
      </c>
      <c r="J111" s="39">
        <f t="shared" si="31"/>
        <v>6.8118195936612705E-3</v>
      </c>
      <c r="K111" s="43">
        <f t="shared" si="19"/>
        <v>1.1414267358035409E-2</v>
      </c>
      <c r="L111" s="43">
        <f t="shared" si="32"/>
        <v>1.0748591726393208E-2</v>
      </c>
      <c r="M111" s="45">
        <f t="shared" si="27"/>
        <v>1.5779325301561559E-5</v>
      </c>
      <c r="N111" s="45">
        <f t="shared" si="22"/>
        <v>6.3374065803753826E-10</v>
      </c>
      <c r="O111" s="65">
        <f t="shared" si="23"/>
        <v>9.1980884295405012</v>
      </c>
      <c r="Q111" s="47">
        <f t="shared" si="28"/>
        <v>29.14764404296875</v>
      </c>
      <c r="R111" s="47">
        <f t="shared" si="29"/>
        <v>1.7345486680801576</v>
      </c>
      <c r="S111" s="48"/>
      <c r="T111" s="47">
        <f t="shared" si="14"/>
        <v>28.69921875</v>
      </c>
      <c r="U111" s="47">
        <f t="shared" si="15"/>
        <v>5.0171464852683902E-2</v>
      </c>
    </row>
    <row r="112" spans="2:21" ht="17.399999999999999" customHeight="1" x14ac:dyDescent="0.3">
      <c r="B112" s="64">
        <v>43</v>
      </c>
      <c r="C112" s="2">
        <v>1.7</v>
      </c>
      <c r="D112" s="2">
        <f t="shared" si="25"/>
        <v>30.492919921875</v>
      </c>
      <c r="E112" s="61">
        <f t="shared" si="30"/>
        <v>6.8819320471486748E-4</v>
      </c>
      <c r="F112" s="59">
        <f t="shared" si="26"/>
        <v>0.71094818548527072</v>
      </c>
      <c r="G112" s="37">
        <f t="shared" si="16"/>
        <v>4.3169270317198898E-9</v>
      </c>
      <c r="H112" s="37">
        <f t="shared" si="17"/>
        <v>3.0389063114303968E-9</v>
      </c>
      <c r="I112" s="39">
        <f t="shared" si="18"/>
        <v>5.2233363187602858E-3</v>
      </c>
      <c r="J112" s="39">
        <f t="shared" si="31"/>
        <v>5.9115295234751534E-3</v>
      </c>
      <c r="K112" s="43">
        <f t="shared" si="19"/>
        <v>1.2187784743773996E-2</v>
      </c>
      <c r="L112" s="43">
        <f t="shared" si="32"/>
        <v>1.1499591539059129E-2</v>
      </c>
      <c r="M112" s="45">
        <f t="shared" si="27"/>
        <v>1.9452819263429771E-5</v>
      </c>
      <c r="N112" s="45">
        <f t="shared" si="22"/>
        <v>5.1406430423169813E-10</v>
      </c>
      <c r="O112" s="65">
        <f t="shared" si="23"/>
        <v>9.2889825517708218</v>
      </c>
      <c r="Q112" s="47">
        <f t="shared" si="28"/>
        <v>30.04449462890625</v>
      </c>
      <c r="R112" s="47">
        <f t="shared" si="29"/>
        <v>1.8178824446064097</v>
      </c>
      <c r="S112" s="48"/>
      <c r="T112" s="47">
        <f t="shared" si="14"/>
        <v>29.5960693359375</v>
      </c>
      <c r="U112" s="47">
        <f t="shared" si="15"/>
        <v>9.2918238369818551E-2</v>
      </c>
    </row>
    <row r="113" spans="2:21" ht="17.399999999999999" customHeight="1" x14ac:dyDescent="0.3">
      <c r="B113" s="64">
        <v>44</v>
      </c>
      <c r="C113" s="2">
        <v>1.75</v>
      </c>
      <c r="D113" s="2">
        <f t="shared" si="25"/>
        <v>31.3897705078125</v>
      </c>
      <c r="E113" s="61">
        <f t="shared" si="30"/>
        <v>7.0964470743775058E-4</v>
      </c>
      <c r="F113" s="59">
        <f t="shared" si="26"/>
        <v>0.70495499371805237</v>
      </c>
      <c r="G113" s="37">
        <f t="shared" si="16"/>
        <v>3.0389063114303968E-9</v>
      </c>
      <c r="H113" s="37">
        <f t="shared" si="17"/>
        <v>2.063793683423233E-9</v>
      </c>
      <c r="I113" s="39">
        <f t="shared" si="18"/>
        <v>4.3160869490387749E-3</v>
      </c>
      <c r="J113" s="39">
        <f t="shared" si="31"/>
        <v>5.0257316564765253E-3</v>
      </c>
      <c r="K113" s="43">
        <f t="shared" si="19"/>
        <v>1.2948260847116328E-2</v>
      </c>
      <c r="L113" s="43">
        <f t="shared" si="32"/>
        <v>1.2238616139678577E-2</v>
      </c>
      <c r="M113" s="45">
        <f t="shared" si="27"/>
        <v>2.4351909286495631E-5</v>
      </c>
      <c r="N113" s="45">
        <f t="shared" si="22"/>
        <v>4.1064541931196775E-10</v>
      </c>
      <c r="O113" s="65">
        <f t="shared" si="23"/>
        <v>9.3865330172994241</v>
      </c>
      <c r="Q113" s="47">
        <f t="shared" si="28"/>
        <v>30.94134521484375</v>
      </c>
      <c r="R113" s="47">
        <f t="shared" si="29"/>
        <v>1.9510093105720454</v>
      </c>
      <c r="S113" s="48"/>
      <c r="T113" s="47">
        <f t="shared" si="14"/>
        <v>30.492919921875</v>
      </c>
      <c r="U113" s="47">
        <f t="shared" si="15"/>
        <v>0.14843817694167522</v>
      </c>
    </row>
    <row r="114" spans="2:21" ht="17.399999999999999" customHeight="1" x14ac:dyDescent="0.3">
      <c r="B114" s="64">
        <v>45</v>
      </c>
      <c r="C114" s="2">
        <v>1.8</v>
      </c>
      <c r="D114" s="2">
        <f t="shared" si="25"/>
        <v>32.28662109375</v>
      </c>
      <c r="E114" s="61">
        <f t="shared" si="30"/>
        <v>7.3013166561597528E-4</v>
      </c>
      <c r="F114" s="59">
        <f t="shared" si="26"/>
        <v>0.69906200079190617</v>
      </c>
      <c r="G114" s="37">
        <f t="shared" si="16"/>
        <v>2.063793683423233E-9</v>
      </c>
      <c r="H114" s="37">
        <f t="shared" si="17"/>
        <v>1.330942625809323E-9</v>
      </c>
      <c r="I114" s="39">
        <f t="shared" si="18"/>
        <v>3.4240056798787561E-3</v>
      </c>
      <c r="J114" s="39">
        <f t="shared" si="31"/>
        <v>4.1541373454947314E-3</v>
      </c>
      <c r="K114" s="43">
        <f t="shared" si="19"/>
        <v>1.3696022719515026E-2</v>
      </c>
      <c r="L114" s="43">
        <f t="shared" si="32"/>
        <v>1.296589105389905E-2</v>
      </c>
      <c r="M114" s="45">
        <f t="shared" si="27"/>
        <v>3.1211994153156475E-5</v>
      </c>
      <c r="N114" s="45">
        <f t="shared" si="22"/>
        <v>3.2038965376355801E-10</v>
      </c>
      <c r="O114" s="65">
        <f t="shared" si="23"/>
        <v>9.4943215168885029</v>
      </c>
      <c r="Q114" s="47">
        <f t="shared" si="28"/>
        <v>31.83819580078125</v>
      </c>
      <c r="R114" s="47">
        <f t="shared" si="29"/>
        <v>2.1557699917815736</v>
      </c>
      <c r="S114" s="48"/>
      <c r="T114" s="47">
        <f t="shared" si="14"/>
        <v>31.3897705078125</v>
      </c>
      <c r="U114" s="47">
        <f t="shared" si="15"/>
        <v>0.22831080719592417</v>
      </c>
    </row>
    <row r="115" spans="2:21" ht="17.399999999999999" customHeight="1" x14ac:dyDescent="0.3">
      <c r="B115" s="64">
        <v>46</v>
      </c>
      <c r="C115" s="2">
        <v>1.85</v>
      </c>
      <c r="D115" s="2">
        <f t="shared" si="25"/>
        <v>33.1834716796875</v>
      </c>
      <c r="E115" s="61">
        <f t="shared" si="30"/>
        <v>7.4974042580742929E-4</v>
      </c>
      <c r="F115" s="59">
        <f t="shared" si="26"/>
        <v>0.69326671473496426</v>
      </c>
      <c r="G115" s="37">
        <f t="shared" si="16"/>
        <v>1.330942625809323E-9</v>
      </c>
      <c r="H115" s="37">
        <f t="shared" si="17"/>
        <v>7.9424800827551562E-10</v>
      </c>
      <c r="I115" s="39">
        <f t="shared" si="18"/>
        <v>2.546715276578891E-3</v>
      </c>
      <c r="J115" s="39">
        <f t="shared" si="31"/>
        <v>3.2964557023863203E-3</v>
      </c>
      <c r="K115" s="43">
        <f>((C115-1)*$D$9)*F115</f>
        <v>1.4431386567280385E-2</v>
      </c>
      <c r="L115" s="43">
        <f t="shared" si="32"/>
        <v>1.3681646141472955E-2</v>
      </c>
      <c r="M115" s="45">
        <f t="shared" si="27"/>
        <v>4.1504110404301039E-5</v>
      </c>
      <c r="N115" s="45">
        <f t="shared" si="22"/>
        <v>2.4093999130658896E-10</v>
      </c>
      <c r="O115" s="65">
        <f t="shared" si="23"/>
        <v>9.6180911096640802</v>
      </c>
      <c r="Q115" s="47">
        <f t="shared" si="28"/>
        <v>32.73504638671875</v>
      </c>
      <c r="R115" s="47">
        <f t="shared" si="29"/>
        <v>2.4753918555115439</v>
      </c>
      <c r="S115" s="48"/>
      <c r="T115" s="47">
        <f t="shared" si="14"/>
        <v>32.28662109375</v>
      </c>
      <c r="U115" s="47">
        <f t="shared" si="15"/>
        <v>0.35638251091274226</v>
      </c>
    </row>
    <row r="116" spans="2:21" ht="17.399999999999999" customHeight="1" x14ac:dyDescent="0.3">
      <c r="B116" s="64">
        <v>47</v>
      </c>
      <c r="C116" s="2">
        <v>1.9</v>
      </c>
      <c r="D116" s="2">
        <f t="shared" si="25"/>
        <v>34.080322265625</v>
      </c>
      <c r="E116" s="61">
        <f t="shared" si="30"/>
        <v>7.6854519384428951E-4</v>
      </c>
      <c r="F116" s="59">
        <f t="shared" si="26"/>
        <v>0.68756672553061482</v>
      </c>
      <c r="G116" s="37">
        <f t="shared" si="16"/>
        <v>7.9424800827551562E-10</v>
      </c>
      <c r="H116" s="37">
        <f t="shared" si="17"/>
        <v>4.1805918337354706E-10</v>
      </c>
      <c r="I116" s="39">
        <f t="shared" si="18"/>
        <v>1.6838509108244779E-3</v>
      </c>
      <c r="J116" s="39">
        <f t="shared" si="31"/>
        <v>2.4523961046687675E-3</v>
      </c>
      <c r="K116" s="43">
        <f t="shared" si="19"/>
        <v>1.5154658197420279E-2</v>
      </c>
      <c r="L116" s="43">
        <f t="shared" si="32"/>
        <v>1.4386113003575989E-2</v>
      </c>
      <c r="M116" s="45">
        <f t="shared" si="27"/>
        <v>5.866145756873581E-5</v>
      </c>
      <c r="N116" s="45">
        <f t="shared" si="22"/>
        <v>1.7046968170340174E-10</v>
      </c>
      <c r="O116" s="65">
        <f t="shared" si="23"/>
        <v>9.7683528497491121</v>
      </c>
      <c r="Q116" s="47">
        <f t="shared" si="28"/>
        <v>33.63189697265625</v>
      </c>
      <c r="R116" s="47">
        <f t="shared" si="29"/>
        <v>3.0052348017006487</v>
      </c>
      <c r="S116" s="48"/>
      <c r="T116" s="47">
        <f t="shared" si="14"/>
        <v>33.1834716796875</v>
      </c>
      <c r="U116" s="47">
        <f t="shared" si="15"/>
        <v>0.59078173610741069</v>
      </c>
    </row>
    <row r="117" spans="2:21" ht="17.399999999999999" customHeight="1" x14ac:dyDescent="0.3">
      <c r="B117" s="64">
        <v>48</v>
      </c>
      <c r="C117" s="2">
        <v>1.92</v>
      </c>
      <c r="D117" s="2">
        <f t="shared" si="25"/>
        <v>34.439062499999999</v>
      </c>
      <c r="E117" s="61">
        <f t="shared" ref="E117:E121" si="33">(-($G$14/$G$13+$G$14^0.5)+(($G$14/$G$13+$G$14^0.5)^2-4*1*(-$G$14/$G$13*K117))^0.5)</f>
        <v>7.7585668762799687E-4</v>
      </c>
      <c r="F117" s="59">
        <f t="shared" si="26"/>
        <v>0.68531288816550306</v>
      </c>
      <c r="G117" s="37">
        <f t="shared" si="16"/>
        <v>4.1805918337354706E-10</v>
      </c>
      <c r="H117" s="37">
        <f t="shared" si="17"/>
        <v>3.0604828980533186E-10</v>
      </c>
      <c r="I117" s="39">
        <f t="shared" si="18"/>
        <v>1.3426650104938545E-3</v>
      </c>
      <c r="J117" s="39">
        <f t="shared" ref="J117:J121" si="34">I117+E117</f>
        <v>2.1185216981218515E-3</v>
      </c>
      <c r="K117" s="43">
        <f t="shared" si="19"/>
        <v>1.5440647620679317E-2</v>
      </c>
      <c r="L117" s="43">
        <f t="shared" ref="L117:L121" si="35">K117-E117</f>
        <v>1.4664790933051321E-2</v>
      </c>
      <c r="M117" s="45">
        <f t="shared" si="27"/>
        <v>6.9221811351057689E-5</v>
      </c>
      <c r="N117" s="45">
        <f t="shared" si="22"/>
        <v>1.4446313676024894E-10</v>
      </c>
      <c r="O117" s="65">
        <f t="shared" si="23"/>
        <v>9.8402429594405803</v>
      </c>
      <c r="Q117" s="47">
        <f t="shared" si="28"/>
        <v>34.259692382812503</v>
      </c>
      <c r="R117" s="47">
        <f t="shared" si="29"/>
        <v>3.5945054845734039</v>
      </c>
      <c r="S117" s="48"/>
      <c r="T117" s="47">
        <f t="shared" si="14"/>
        <v>33.945794677734376</v>
      </c>
      <c r="U117" s="47">
        <f t="shared" si="15"/>
        <v>0.93863490133846439</v>
      </c>
    </row>
    <row r="118" spans="2:21" ht="17.399999999999999" customHeight="1" x14ac:dyDescent="0.3">
      <c r="B118" s="64">
        <v>49</v>
      </c>
      <c r="C118" s="2">
        <v>1.94</v>
      </c>
      <c r="D118" s="2">
        <f t="shared" si="25"/>
        <v>34.797802734374997</v>
      </c>
      <c r="E118" s="61">
        <f t="shared" si="33"/>
        <v>7.8305366678925134E-4</v>
      </c>
      <c r="F118" s="59">
        <f t="shared" si="26"/>
        <v>0.68307377863873542</v>
      </c>
      <c r="G118" s="37">
        <f t="shared" si="16"/>
        <v>3.0604828980533186E-10</v>
      </c>
      <c r="H118" s="37">
        <f t="shared" si="17"/>
        <v>2.1366486568530306E-10</v>
      </c>
      <c r="I118" s="39">
        <f t="shared" si="18"/>
        <v>1.0037086103317596E-3</v>
      </c>
      <c r="J118" s="39">
        <f t="shared" si="34"/>
        <v>1.7867622771210109E-3</v>
      </c>
      <c r="K118" s="43">
        <f t="shared" si="19"/>
        <v>1.5724768228530871E-2</v>
      </c>
      <c r="L118" s="43">
        <f t="shared" si="35"/>
        <v>1.494171456174162E-2</v>
      </c>
      <c r="M118" s="45">
        <f t="shared" si="27"/>
        <v>8.3624524387301429E-5</v>
      </c>
      <c r="N118" s="45">
        <f t="shared" si="22"/>
        <v>1.1958214498997525E-10</v>
      </c>
      <c r="O118" s="65">
        <f t="shared" ref="O118:O123" si="36">-LOG10(N118)</f>
        <v>9.9223336607423018</v>
      </c>
      <c r="Q118" s="47">
        <f t="shared" si="28"/>
        <v>34.618432617187494</v>
      </c>
      <c r="R118" s="47">
        <f t="shared" si="29"/>
        <v>4.1045350650860755</v>
      </c>
      <c r="S118" s="48"/>
      <c r="T118" s="47">
        <f t="shared" si="14"/>
        <v>34.439062499999999</v>
      </c>
      <c r="U118" s="47">
        <f t="shared" si="15"/>
        <v>1.4217239429562762</v>
      </c>
    </row>
    <row r="119" spans="2:21" ht="17.399999999999999" customHeight="1" x14ac:dyDescent="0.3">
      <c r="B119" s="64">
        <v>50</v>
      </c>
      <c r="C119" s="2">
        <v>1.96</v>
      </c>
      <c r="D119" s="2">
        <f t="shared" si="25"/>
        <v>35.156542968750003</v>
      </c>
      <c r="E119" s="61">
        <f t="shared" si="33"/>
        <v>7.9013967732557511E-4</v>
      </c>
      <c r="F119" s="59">
        <f t="shared" si="26"/>
        <v>0.68084925306049715</v>
      </c>
      <c r="G119" s="37">
        <f t="shared" si="16"/>
        <v>2.1366486568530306E-10</v>
      </c>
      <c r="H119" s="37">
        <f t="shared" si="17"/>
        <v>1.3952509747640161E-10</v>
      </c>
      <c r="I119" s="39">
        <f t="shared" si="18"/>
        <v>6.6695992829806337E-4</v>
      </c>
      <c r="J119" s="39">
        <f t="shared" si="34"/>
        <v>1.4570996056236384E-3</v>
      </c>
      <c r="K119" s="43">
        <f t="shared" si="19"/>
        <v>1.6007038279153514E-2</v>
      </c>
      <c r="L119" s="43">
        <f t="shared" si="35"/>
        <v>1.5216898601827939E-2</v>
      </c>
      <c r="M119" s="45">
        <f t="shared" si="27"/>
        <v>1.0443279610466375E-4</v>
      </c>
      <c r="N119" s="45">
        <f t="shared" si="22"/>
        <v>9.5755360126314006E-11</v>
      </c>
      <c r="O119" s="65">
        <f t="shared" si="36"/>
        <v>10.018836906047326</v>
      </c>
      <c r="Q119" s="47">
        <f t="shared" si="28"/>
        <v>34.9771728515625</v>
      </c>
      <c r="R119" s="47">
        <f t="shared" si="29"/>
        <v>4.8251622652512216</v>
      </c>
      <c r="S119" s="48"/>
      <c r="T119" s="47">
        <f t="shared" si="14"/>
        <v>34.797802734374997</v>
      </c>
      <c r="U119" s="47">
        <f t="shared" si="15"/>
        <v>2.008771615541304</v>
      </c>
    </row>
    <row r="120" spans="2:21" ht="17.399999999999999" customHeight="1" x14ac:dyDescent="0.3">
      <c r="B120" s="64">
        <v>51</v>
      </c>
      <c r="C120" s="2">
        <v>1.97</v>
      </c>
      <c r="D120" s="2">
        <f t="shared" si="25"/>
        <v>35.335913085937499</v>
      </c>
      <c r="E120" s="61">
        <f t="shared" si="33"/>
        <v>7.936421287018814E-4</v>
      </c>
      <c r="F120" s="59">
        <f t="shared" si="26"/>
        <v>0.67974241479820474</v>
      </c>
      <c r="G120" s="37">
        <f t="shared" si="16"/>
        <v>1.3952509747640161E-10</v>
      </c>
      <c r="H120" s="37">
        <f t="shared" si="17"/>
        <v>1.0889621730468008E-10</v>
      </c>
      <c r="I120" s="39">
        <f t="shared" si="18"/>
        <v>4.9940675215224195E-4</v>
      </c>
      <c r="J120" s="39">
        <f t="shared" si="34"/>
        <v>1.2930488808541233E-3</v>
      </c>
      <c r="K120" s="43">
        <f t="shared" si="19"/>
        <v>1.6147484986255792E-2</v>
      </c>
      <c r="L120" s="43">
        <f t="shared" si="35"/>
        <v>1.5353842857553911E-2</v>
      </c>
      <c r="M120" s="45">
        <f t="shared" si="27"/>
        <v>1.1874139551021406E-4</v>
      </c>
      <c r="N120" s="45">
        <f t="shared" si="22"/>
        <v>8.4216628556801882E-11</v>
      </c>
      <c r="O120" s="65">
        <f t="shared" si="36"/>
        <v>10.074602148673112</v>
      </c>
      <c r="Q120" s="47">
        <f t="shared" si="28"/>
        <v>35.246228027343747</v>
      </c>
      <c r="R120" s="47">
        <f t="shared" si="29"/>
        <v>5.5765242625785252</v>
      </c>
      <c r="S120" s="48"/>
      <c r="T120" s="47">
        <f t="shared" si="14"/>
        <v>35.111700439453124</v>
      </c>
      <c r="U120" s="47">
        <f t="shared" si="15"/>
        <v>2.7925944748901301</v>
      </c>
    </row>
    <row r="121" spans="2:21" ht="17.399999999999999" customHeight="1" x14ac:dyDescent="0.3">
      <c r="B121" s="64">
        <v>52</v>
      </c>
      <c r="C121" s="2">
        <v>1.98</v>
      </c>
      <c r="D121" s="2">
        <f t="shared" si="25"/>
        <v>35.515283203125001</v>
      </c>
      <c r="E121" s="61">
        <f t="shared" si="33"/>
        <v>7.9711808809408084E-4</v>
      </c>
      <c r="F121" s="59">
        <f t="shared" si="26"/>
        <v>0.67863916940927915</v>
      </c>
      <c r="G121" s="37">
        <f t="shared" si="16"/>
        <v>1.0889621730468008E-10</v>
      </c>
      <c r="H121" s="37">
        <f t="shared" si="17"/>
        <v>8.2361260426051192E-11</v>
      </c>
      <c r="I121" s="39">
        <f t="shared" si="18"/>
        <v>3.3239746517666629E-4</v>
      </c>
      <c r="J121" s="39">
        <f t="shared" si="34"/>
        <v>1.1295155532707471E-3</v>
      </c>
      <c r="K121" s="43">
        <f>((C121-1)*$D$9)*F121</f>
        <v>1.6287475793656581E-2</v>
      </c>
      <c r="L121" s="43">
        <f t="shared" si="35"/>
        <v>1.5490357705562501E-2</v>
      </c>
      <c r="M121" s="45">
        <f t="shared" si="27"/>
        <v>1.3714160606914132E-4</v>
      </c>
      <c r="N121" s="45">
        <f t="shared" si="22"/>
        <v>7.2917331848647005E-11</v>
      </c>
      <c r="O121" s="65">
        <f t="shared" si="36"/>
        <v>10.137169231193825</v>
      </c>
      <c r="Q121" s="47">
        <f t="shared" si="28"/>
        <v>35.42559814453125</v>
      </c>
      <c r="R121" s="47">
        <f t="shared" si="29"/>
        <v>6.256708252071336</v>
      </c>
      <c r="S121" s="48"/>
      <c r="T121" s="47">
        <f t="shared" si="14"/>
        <v>35.335913085937499</v>
      </c>
      <c r="U121" s="47">
        <f t="shared" si="15"/>
        <v>3.7920697168402189</v>
      </c>
    </row>
    <row r="122" spans="2:21" ht="31.8" customHeight="1" x14ac:dyDescent="0.3">
      <c r="B122" s="68" t="s">
        <v>27</v>
      </c>
      <c r="C122" s="62">
        <v>2</v>
      </c>
      <c r="D122" s="62">
        <f t="shared" si="25"/>
        <v>35.8740234375</v>
      </c>
      <c r="E122" s="63">
        <f>(-($G$14/$G$13+$G$14^0.5)+(($G$14/$G$13+$G$14^0.5)^2-4*1*(-$G$14/$G$13*K122))^0.5)</f>
        <v>8.0399210314104986E-4</v>
      </c>
      <c r="F122" s="60">
        <f>$D$11/($D$11+D122)</f>
        <v>0.67644338750165145</v>
      </c>
      <c r="G122" s="40">
        <v>0</v>
      </c>
      <c r="H122" s="40">
        <f>J122*N122/$G$12</f>
        <v>4.1009956612452076E-11</v>
      </c>
      <c r="I122" s="40">
        <v>0</v>
      </c>
      <c r="J122" s="40">
        <f>I122+E122</f>
        <v>8.0399210314104986E-4</v>
      </c>
      <c r="K122" s="110">
        <f>D9*F122</f>
        <v>1.6566098559915445E-2</v>
      </c>
      <c r="L122" s="40">
        <f>K122-E122</f>
        <v>1.5762106456774394E-2</v>
      </c>
      <c r="M122" s="40">
        <f>$G$14/N122</f>
        <v>1.9604802578526245E-4</v>
      </c>
      <c r="N122" s="40">
        <f>$G$13*J122/L122</f>
        <v>5.1007909719801585E-11</v>
      </c>
      <c r="O122" s="67">
        <f t="shared" si="36"/>
        <v>10.292362473288184</v>
      </c>
      <c r="P122" s="82"/>
      <c r="Q122" s="83">
        <f t="shared" si="28"/>
        <v>35.694653320312497</v>
      </c>
      <c r="R122" s="83">
        <f t="shared" si="29"/>
        <v>7.759662104717961</v>
      </c>
      <c r="S122" s="84"/>
      <c r="T122" s="83">
        <f>AVERAGE(Q121:Q122)</f>
        <v>35.560125732421874</v>
      </c>
      <c r="U122" s="83">
        <f>(R122-R121)/(Q122-Q121)</f>
        <v>5.5860432652244825</v>
      </c>
    </row>
    <row r="123" spans="2:21" ht="17.399999999999999" customHeight="1" x14ac:dyDescent="0.3">
      <c r="B123" s="87">
        <v>54</v>
      </c>
      <c r="C123" s="2">
        <v>2.02</v>
      </c>
      <c r="D123" s="2">
        <f t="shared" si="25"/>
        <v>36.232763671874999</v>
      </c>
      <c r="E123" s="63">
        <f>(-($G$14/$G$13+M123)+(($G$14/$G$13+M123)^2-4*1*(-$G$14/$G$13*K123))^0.5)</f>
        <v>5.199873808682218E-4</v>
      </c>
      <c r="F123" s="59">
        <f t="shared" si="26"/>
        <v>0.67426176896262457</v>
      </c>
      <c r="G123" s="37">
        <f>H122</f>
        <v>4.1009956612452076E-11</v>
      </c>
      <c r="H123" s="37">
        <f>J123*N123/$G$12</f>
        <v>1.4308636463289791E-11</v>
      </c>
      <c r="I123" s="33">
        <f>J122</f>
        <v>8.0399210314104986E-4</v>
      </c>
      <c r="J123" s="33">
        <f>K123*N123/$G$13</f>
        <v>4.7254760479520017E-4</v>
      </c>
      <c r="K123" s="43">
        <f>L122*C122/C123</f>
        <v>1.5606045996806331E-2</v>
      </c>
      <c r="L123" s="41">
        <f>K123-E123</f>
        <v>1.5086058615938109E-2</v>
      </c>
      <c r="M123" s="45">
        <f>(C123-2)*$D$9*F123</f>
        <v>3.302534144378938E-4</v>
      </c>
      <c r="N123" s="45">
        <f>$G$14/M123</f>
        <v>3.0279777779195566E-11</v>
      </c>
      <c r="O123" s="69">
        <f t="shared" si="36"/>
        <v>10.518847316411835</v>
      </c>
      <c r="Q123" s="47">
        <f t="shared" si="28"/>
        <v>36.053393554687503</v>
      </c>
      <c r="R123" s="47">
        <f t="shared" si="29"/>
        <v>11.324242156182496</v>
      </c>
      <c r="S123" s="48"/>
      <c r="T123" s="47">
        <f t="shared" si="14"/>
        <v>35.8740234375</v>
      </c>
      <c r="U123" s="47">
        <f t="shared" si="15"/>
        <v>9.936382122497962</v>
      </c>
    </row>
    <row r="124" spans="2:21" ht="17.399999999999999" customHeight="1" x14ac:dyDescent="0.3">
      <c r="B124" s="87">
        <v>55</v>
      </c>
      <c r="C124" s="2">
        <v>2.0299999999999998</v>
      </c>
      <c r="D124" s="2">
        <f t="shared" si="25"/>
        <v>36.412133789062494</v>
      </c>
      <c r="E124" s="63">
        <f t="shared" ref="E124:E140" si="37">(-($G$14/$G$13+M124)+(($G$14/$G$13+M124)^2-4*1*(-$G$14/$G$13*K124))^0.5)</f>
        <v>4.2011915926988108E-4</v>
      </c>
      <c r="F124" s="59">
        <f t="shared" si="26"/>
        <v>0.67317622820148215</v>
      </c>
      <c r="G124" s="37">
        <f t="shared" ref="G124:G140" si="38">H123</f>
        <v>1.4308636463289791E-11</v>
      </c>
      <c r="H124" s="37">
        <f t="shared" ref="H124:H140" si="39">J124*N124/$G$12</f>
        <v>6.1369629290233473E-12</v>
      </c>
      <c r="I124" s="33">
        <f t="shared" ref="I124:I140" si="40">J123</f>
        <v>4.7254760479520017E-4</v>
      </c>
      <c r="J124" s="33">
        <f t="shared" ref="J124:J140" si="41">K124*N124/$G$13</f>
        <v>3.0352349272544377E-4</v>
      </c>
      <c r="K124" s="43">
        <f t="shared" ref="K124:K140" si="42">L123*C123/C124</f>
        <v>1.5011743056253685E-2</v>
      </c>
      <c r="L124" s="41">
        <f t="shared" ref="L124:L140" si="43">K124-E124</f>
        <v>1.4591623896983805E-2</v>
      </c>
      <c r="M124" s="45">
        <f t="shared" ref="M124:M140" si="44">(C124-2)*$D$9*F124</f>
        <v>4.9458257485962575E-4</v>
      </c>
      <c r="N124" s="45">
        <f t="shared" ref="N124:N140" si="45">$G$14/M124</f>
        <v>2.0219070602797191E-11</v>
      </c>
      <c r="O124" s="69">
        <f t="shared" ref="O124:O136" si="46">-LOG10(N124)</f>
        <v>10.694238811225398</v>
      </c>
      <c r="Q124" s="47">
        <f t="shared" si="28"/>
        <v>36.32244873046875</v>
      </c>
      <c r="R124" s="47">
        <f t="shared" si="29"/>
        <v>17.539149481356748</v>
      </c>
      <c r="S124" s="48"/>
      <c r="T124" s="47">
        <f t="shared" si="14"/>
        <v>36.187921142578126</v>
      </c>
      <c r="U124" s="47">
        <f t="shared" si="15"/>
        <v>23.099006763680418</v>
      </c>
    </row>
    <row r="125" spans="2:21" ht="17.399999999999999" customHeight="1" x14ac:dyDescent="0.3">
      <c r="B125" s="87">
        <v>56</v>
      </c>
      <c r="C125" s="2">
        <v>2.04</v>
      </c>
      <c r="D125" s="2">
        <f t="shared" si="25"/>
        <v>36.591503906249997</v>
      </c>
      <c r="E125" s="63">
        <f t="shared" si="37"/>
        <v>3.452931676929538E-4</v>
      </c>
      <c r="F125" s="59">
        <f t="shared" si="26"/>
        <v>0.67209417719657971</v>
      </c>
      <c r="G125" s="37">
        <f t="shared" si="38"/>
        <v>6.1369629290233473E-12</v>
      </c>
      <c r="H125" s="37">
        <f t="shared" si="39"/>
        <v>3.3497444712505268E-12</v>
      </c>
      <c r="I125" s="33">
        <f t="shared" si="40"/>
        <v>3.0352349272544377E-4</v>
      </c>
      <c r="J125" s="33">
        <f t="shared" si="41"/>
        <v>2.2054163416377489E-4</v>
      </c>
      <c r="K125" s="43">
        <f t="shared" si="42"/>
        <v>1.4520096328861334E-2</v>
      </c>
      <c r="L125" s="41">
        <f t="shared" si="43"/>
        <v>1.417480316116838E-2</v>
      </c>
      <c r="M125" s="45">
        <f t="shared" si="44"/>
        <v>6.5838345598177004E-4</v>
      </c>
      <c r="N125" s="45">
        <f t="shared" si="45"/>
        <v>1.518871701459778E-11</v>
      </c>
      <c r="O125" s="69">
        <f t="shared" si="46"/>
        <v>10.818478909284867</v>
      </c>
      <c r="Q125" s="47">
        <f t="shared" si="28"/>
        <v>36.501818847656246</v>
      </c>
      <c r="R125" s="47">
        <f t="shared" si="29"/>
        <v>12.424009805946557</v>
      </c>
      <c r="S125" s="48"/>
      <c r="T125" s="47">
        <f t="shared" si="14"/>
        <v>36.412133789062494</v>
      </c>
      <c r="U125" s="47">
        <f t="shared" si="15"/>
        <v>-28.517234395645353</v>
      </c>
    </row>
    <row r="126" spans="2:21" ht="17.399999999999999" customHeight="1" x14ac:dyDescent="0.3">
      <c r="B126" s="87">
        <v>57</v>
      </c>
      <c r="C126" s="2">
        <v>2.06</v>
      </c>
      <c r="D126" s="2">
        <f t="shared" si="25"/>
        <v>36.950244140625003</v>
      </c>
      <c r="E126" s="63">
        <f t="shared" si="37"/>
        <v>2.507158278323401E-4</v>
      </c>
      <c r="F126" s="59">
        <f t="shared" si="26"/>
        <v>0.66994047735875961</v>
      </c>
      <c r="G126" s="37">
        <f t="shared" si="38"/>
        <v>3.3497444712505268E-12</v>
      </c>
      <c r="H126" s="37">
        <f t="shared" si="39"/>
        <v>1.4485299396725901E-12</v>
      </c>
      <c r="I126" s="33">
        <f t="shared" si="40"/>
        <v>2.2054163416377489E-4</v>
      </c>
      <c r="J126" s="33">
        <f t="shared" si="41"/>
        <v>1.4259481363979341E-4</v>
      </c>
      <c r="K126" s="43">
        <f t="shared" si="42"/>
        <v>1.4037183713001698E-2</v>
      </c>
      <c r="L126" s="41">
        <f t="shared" si="43"/>
        <v>1.3786467885169358E-2</v>
      </c>
      <c r="M126" s="45">
        <f t="shared" si="44"/>
        <v>9.8441053743096238E-4</v>
      </c>
      <c r="N126" s="45">
        <f t="shared" si="45"/>
        <v>1.015836342639852E-11</v>
      </c>
      <c r="O126" s="69">
        <f t="shared" si="46"/>
        <v>10.993176253876383</v>
      </c>
      <c r="Q126" s="47">
        <f t="shared" si="28"/>
        <v>36.7708740234375</v>
      </c>
      <c r="R126" s="47">
        <f t="shared" si="29"/>
        <v>8.7348672295758085</v>
      </c>
      <c r="S126" s="48"/>
      <c r="T126" s="47">
        <f t="shared" si="14"/>
        <v>36.636346435546869</v>
      </c>
      <c r="U126" s="47">
        <f t="shared" si="15"/>
        <v>-13.711472249729457</v>
      </c>
    </row>
    <row r="127" spans="2:21" ht="17.399999999999999" customHeight="1" x14ac:dyDescent="0.3">
      <c r="B127" s="87">
        <v>58</v>
      </c>
      <c r="C127" s="2">
        <v>2.08</v>
      </c>
      <c r="D127" s="2">
        <f t="shared" si="25"/>
        <v>37.308984375000001</v>
      </c>
      <c r="E127" s="63">
        <f t="shared" si="37"/>
        <v>1.9300736780867743E-4</v>
      </c>
      <c r="F127" s="59">
        <f t="shared" si="26"/>
        <v>0.66780053632730574</v>
      </c>
      <c r="G127" s="37">
        <f t="shared" si="38"/>
        <v>1.4485299396725901E-12</v>
      </c>
      <c r="H127" s="37">
        <f t="shared" si="39"/>
        <v>7.9763798489168947E-13</v>
      </c>
      <c r="I127" s="33">
        <f t="shared" si="40"/>
        <v>1.4259481363979341E-4</v>
      </c>
      <c r="J127" s="33">
        <f t="shared" si="41"/>
        <v>1.0435934947878915E-4</v>
      </c>
      <c r="K127" s="43">
        <f t="shared" si="42"/>
        <v>1.3653905693965808E-2</v>
      </c>
      <c r="L127" s="41">
        <f t="shared" si="43"/>
        <v>1.346089832615713E-2</v>
      </c>
      <c r="M127" s="45">
        <f t="shared" si="44"/>
        <v>1.3083548107724586E-3</v>
      </c>
      <c r="N127" s="45">
        <f t="shared" si="45"/>
        <v>7.6431866322988906E-12</v>
      </c>
      <c r="O127" s="69">
        <f t="shared" si="46"/>
        <v>11.116725535627905</v>
      </c>
      <c r="Q127" s="47">
        <f t="shared" si="28"/>
        <v>37.129614257812506</v>
      </c>
      <c r="R127" s="47">
        <f t="shared" si="29"/>
        <v>6.1774640875761069</v>
      </c>
      <c r="S127" s="48"/>
      <c r="T127" s="47">
        <f t="shared" si="14"/>
        <v>36.950244140625003</v>
      </c>
      <c r="U127" s="47">
        <f t="shared" si="15"/>
        <v>-7.1288439292436454</v>
      </c>
    </row>
    <row r="128" spans="2:21" ht="17.399999999999999" customHeight="1" x14ac:dyDescent="0.3">
      <c r="B128" s="87">
        <v>59</v>
      </c>
      <c r="C128" s="2">
        <v>2.1</v>
      </c>
      <c r="D128" s="2">
        <f t="shared" si="25"/>
        <v>37.667724609375</v>
      </c>
      <c r="E128" s="63">
        <f t="shared" si="37"/>
        <v>1.5522551567908531E-4</v>
      </c>
      <c r="F128" s="59">
        <f t="shared" si="26"/>
        <v>0.66567422267582832</v>
      </c>
      <c r="G128" s="37">
        <f t="shared" si="38"/>
        <v>7.9763798489168947E-13</v>
      </c>
      <c r="H128" s="37">
        <f t="shared" si="39"/>
        <v>5.01668733262362E-13</v>
      </c>
      <c r="I128" s="33">
        <f t="shared" si="40"/>
        <v>1.0435934947878915E-4</v>
      </c>
      <c r="J128" s="33">
        <f t="shared" si="41"/>
        <v>8.1783851499116184E-5</v>
      </c>
      <c r="K128" s="43">
        <f t="shared" si="42"/>
        <v>1.3332699294479443E-2</v>
      </c>
      <c r="L128" s="41">
        <f t="shared" si="43"/>
        <v>1.3177473778800358E-2</v>
      </c>
      <c r="M128" s="45">
        <f t="shared" si="44"/>
        <v>1.6302361713331052E-3</v>
      </c>
      <c r="N128" s="45">
        <f t="shared" si="45"/>
        <v>6.1340805558391123E-12</v>
      </c>
      <c r="O128" s="69">
        <f t="shared" si="46"/>
        <v>11.212250524941943</v>
      </c>
      <c r="Q128" s="47">
        <f t="shared" si="28"/>
        <v>37.488354492187497</v>
      </c>
      <c r="R128" s="47">
        <f t="shared" si="29"/>
        <v>4.7762494657018939</v>
      </c>
      <c r="S128" s="48"/>
      <c r="T128" s="47">
        <f t="shared" si="14"/>
        <v>37.308984375000001</v>
      </c>
      <c r="U128" s="47">
        <f t="shared" si="15"/>
        <v>-3.9059310543057797</v>
      </c>
    </row>
    <row r="129" spans="2:21" ht="17.399999999999999" customHeight="1" x14ac:dyDescent="0.3">
      <c r="B129" s="87">
        <v>60</v>
      </c>
      <c r="C129" s="2">
        <v>2.15</v>
      </c>
      <c r="D129" s="2">
        <f t="shared" si="25"/>
        <v>38.5645751953125</v>
      </c>
      <c r="E129" s="63">
        <f t="shared" si="37"/>
        <v>1.0347396424160125E-4</v>
      </c>
      <c r="F129" s="59">
        <f t="shared" si="26"/>
        <v>0.66041721083367999</v>
      </c>
      <c r="G129" s="37">
        <f t="shared" si="38"/>
        <v>5.01668733262362E-13</v>
      </c>
      <c r="H129" s="37">
        <f t="shared" si="39"/>
        <v>2.1868356328690667E-13</v>
      </c>
      <c r="I129" s="33">
        <f t="shared" si="40"/>
        <v>8.1783851499116184E-5</v>
      </c>
      <c r="J129" s="33">
        <f t="shared" si="41"/>
        <v>5.3053564570169527E-5</v>
      </c>
      <c r="K129" s="43">
        <f t="shared" si="42"/>
        <v>1.2871020900223606E-2</v>
      </c>
      <c r="L129" s="41">
        <f t="shared" si="43"/>
        <v>1.2767546935982005E-2</v>
      </c>
      <c r="M129" s="45">
        <f t="shared" si="44"/>
        <v>2.4260426239975223E-3</v>
      </c>
      <c r="N129" s="45">
        <f t="shared" si="45"/>
        <v>4.1219391205594142E-12</v>
      </c>
      <c r="O129" s="69">
        <f t="shared" si="46"/>
        <v>11.384898426870333</v>
      </c>
      <c r="Q129" s="47">
        <f t="shared" si="28"/>
        <v>38.11614990234375</v>
      </c>
      <c r="R129" s="47">
        <f t="shared" si="29"/>
        <v>3.4529580385677985</v>
      </c>
      <c r="S129" s="48"/>
      <c r="T129" s="47">
        <f t="shared" si="14"/>
        <v>37.802252197265624</v>
      </c>
      <c r="U129" s="47">
        <f t="shared" si="15"/>
        <v>-2.1078386457217642</v>
      </c>
    </row>
    <row r="130" spans="2:21" ht="17.399999999999999" customHeight="1" x14ac:dyDescent="0.3">
      <c r="B130" s="87">
        <v>61</v>
      </c>
      <c r="C130" s="2">
        <v>2.2000000000000002</v>
      </c>
      <c r="D130" s="2">
        <f t="shared" si="25"/>
        <v>39.46142578125</v>
      </c>
      <c r="E130" s="63">
        <f t="shared" si="37"/>
        <v>7.6602840212245098E-5</v>
      </c>
      <c r="F130" s="59">
        <f t="shared" si="26"/>
        <v>0.65524258052956907</v>
      </c>
      <c r="G130" s="37">
        <f t="shared" si="38"/>
        <v>2.1868356328690667E-13</v>
      </c>
      <c r="H130" s="37">
        <f t="shared" si="39"/>
        <v>1.2113829494283605E-13</v>
      </c>
      <c r="I130" s="33">
        <f t="shared" si="40"/>
        <v>5.3053564570169527E-5</v>
      </c>
      <c r="J130" s="33">
        <f t="shared" si="41"/>
        <v>3.8877859806059196E-5</v>
      </c>
      <c r="K130" s="43">
        <f t="shared" si="42"/>
        <v>1.2477375414709686E-2</v>
      </c>
      <c r="L130" s="41">
        <f t="shared" si="43"/>
        <v>1.240077257449744E-2</v>
      </c>
      <c r="M130" s="45">
        <f t="shared" si="44"/>
        <v>3.2093781594338326E-3</v>
      </c>
      <c r="N130" s="45">
        <f t="shared" si="45"/>
        <v>3.1158684029195558E-12</v>
      </c>
      <c r="O130" s="69">
        <f t="shared" si="46"/>
        <v>11.506420892813576</v>
      </c>
      <c r="Q130" s="47">
        <f t="shared" si="28"/>
        <v>39.01300048828125</v>
      </c>
      <c r="R130" s="47">
        <f t="shared" si="29"/>
        <v>2.4304493188648606</v>
      </c>
      <c r="S130" s="48"/>
      <c r="T130" s="47">
        <f t="shared" si="14"/>
        <v>38.5645751953125</v>
      </c>
      <c r="U130" s="47">
        <f t="shared" si="15"/>
        <v>-1.1401104439644028</v>
      </c>
    </row>
    <row r="131" spans="2:21" ht="17.399999999999999" customHeight="1" x14ac:dyDescent="0.3">
      <c r="B131" s="87">
        <v>62</v>
      </c>
      <c r="C131" s="2">
        <v>2.25</v>
      </c>
      <c r="D131" s="2">
        <f t="shared" si="25"/>
        <v>40.3582763671875</v>
      </c>
      <c r="E131" s="63">
        <f t="shared" si="37"/>
        <v>6.0314015209486996E-5</v>
      </c>
      <c r="F131" s="59">
        <f t="shared" si="26"/>
        <v>0.650148410342693</v>
      </c>
      <c r="G131" s="37">
        <f t="shared" si="38"/>
        <v>1.2113829494283605E-13</v>
      </c>
      <c r="H131" s="37">
        <f t="shared" si="39"/>
        <v>7.6525523263029697E-14</v>
      </c>
      <c r="I131" s="33">
        <f t="shared" si="40"/>
        <v>3.8877859806059196E-5</v>
      </c>
      <c r="J131" s="33">
        <f t="shared" si="41"/>
        <v>3.0461241984487168E-5</v>
      </c>
      <c r="K131" s="43">
        <f t="shared" si="42"/>
        <v>1.212519985061972E-2</v>
      </c>
      <c r="L131" s="41">
        <f t="shared" si="43"/>
        <v>1.2064885835410233E-2</v>
      </c>
      <c r="M131" s="45">
        <f t="shared" si="44"/>
        <v>3.9805336423231379E-3</v>
      </c>
      <c r="N131" s="45">
        <f t="shared" si="45"/>
        <v>2.512225972335647E-12</v>
      </c>
      <c r="O131" s="69">
        <f t="shared" si="46"/>
        <v>11.599941298802451</v>
      </c>
      <c r="Q131" s="47">
        <f t="shared" si="28"/>
        <v>39.90985107421875</v>
      </c>
      <c r="R131" s="47">
        <f t="shared" si="29"/>
        <v>1.8704081197774935</v>
      </c>
      <c r="S131" s="48"/>
      <c r="T131" s="47">
        <f t="shared" si="14"/>
        <v>39.46142578125</v>
      </c>
      <c r="U131" s="47">
        <f t="shared" si="15"/>
        <v>-0.62445317856590588</v>
      </c>
    </row>
    <row r="132" spans="2:21" ht="17.399999999999999" customHeight="1" x14ac:dyDescent="0.3">
      <c r="B132" s="87">
        <v>63</v>
      </c>
      <c r="C132" s="2">
        <v>2.2999999999999998</v>
      </c>
      <c r="D132" s="2">
        <f t="shared" si="25"/>
        <v>41.255126953125</v>
      </c>
      <c r="E132" s="63">
        <f t="shared" si="37"/>
        <v>4.9440060888440544E-5</v>
      </c>
      <c r="F132" s="59">
        <f t="shared" si="26"/>
        <v>0.6451328381434791</v>
      </c>
      <c r="G132" s="37">
        <f t="shared" si="38"/>
        <v>7.6525523263029697E-14</v>
      </c>
      <c r="H132" s="37">
        <f t="shared" si="39"/>
        <v>5.2536304669663737E-14</v>
      </c>
      <c r="I132" s="33">
        <f t="shared" si="40"/>
        <v>3.0461241984487168E-5</v>
      </c>
      <c r="J132" s="33">
        <f t="shared" si="41"/>
        <v>2.4901110204175207E-5</v>
      </c>
      <c r="K132" s="43">
        <f t="shared" si="42"/>
        <v>1.1802605708553491E-2</v>
      </c>
      <c r="L132" s="41">
        <f t="shared" si="43"/>
        <v>1.175316564766505E-2</v>
      </c>
      <c r="M132" s="45">
        <f t="shared" si="44"/>
        <v>4.7397909618401386E-3</v>
      </c>
      <c r="N132" s="45">
        <f t="shared" si="45"/>
        <v>2.1097976852797067E-12</v>
      </c>
      <c r="O132" s="69">
        <f t="shared" si="46"/>
        <v>11.675759188483953</v>
      </c>
      <c r="Q132" s="47">
        <f t="shared" si="28"/>
        <v>40.80670166015625</v>
      </c>
      <c r="R132" s="47">
        <f t="shared" si="29"/>
        <v>1.5163577936300552</v>
      </c>
      <c r="S132" s="48"/>
      <c r="T132" s="47">
        <f t="shared" si="14"/>
        <v>40.3582763671875</v>
      </c>
      <c r="U132" s="47">
        <f t="shared" si="15"/>
        <v>-0.39477069168365525</v>
      </c>
    </row>
    <row r="133" spans="2:21" ht="17.399999999999999" customHeight="1" x14ac:dyDescent="0.3">
      <c r="B133" s="87">
        <v>64</v>
      </c>
      <c r="C133" s="2">
        <v>2.35</v>
      </c>
      <c r="D133" s="2">
        <f t="shared" si="25"/>
        <v>42.1519775390625</v>
      </c>
      <c r="E133" s="63">
        <f t="shared" si="37"/>
        <v>4.1690967177565944E-5</v>
      </c>
      <c r="F133" s="59">
        <f t="shared" si="26"/>
        <v>0.64019405882408109</v>
      </c>
      <c r="G133" s="37">
        <f t="shared" si="38"/>
        <v>5.2536304669663737E-14</v>
      </c>
      <c r="H133" s="37">
        <f t="shared" si="39"/>
        <v>3.8201278067466207E-14</v>
      </c>
      <c r="I133" s="33">
        <f t="shared" si="40"/>
        <v>2.4901110204175207E-5</v>
      </c>
      <c r="J133" s="33">
        <f t="shared" si="41"/>
        <v>2.0962658623033455E-5</v>
      </c>
      <c r="K133" s="43">
        <f t="shared" si="42"/>
        <v>1.1503098293459409E-2</v>
      </c>
      <c r="L133" s="41">
        <f t="shared" si="43"/>
        <v>1.1461407326281843E-2</v>
      </c>
      <c r="M133" s="45">
        <f t="shared" si="44"/>
        <v>5.4874233752106125E-3</v>
      </c>
      <c r="N133" s="45">
        <f t="shared" si="45"/>
        <v>1.8223489088111759E-12</v>
      </c>
      <c r="O133" s="69">
        <f t="shared" si="46"/>
        <v>11.739368468930261</v>
      </c>
      <c r="Q133" s="47">
        <f t="shared" si="28"/>
        <v>41.70355224609375</v>
      </c>
      <c r="R133" s="47">
        <f t="shared" si="29"/>
        <v>1.2721856089261439</v>
      </c>
      <c r="S133" s="48"/>
      <c r="T133" s="47">
        <f t="shared" si="14"/>
        <v>41.255126953125</v>
      </c>
      <c r="U133" s="47">
        <f t="shared" si="15"/>
        <v>-0.27225514320055011</v>
      </c>
    </row>
    <row r="134" spans="2:21" ht="17.399999999999999" customHeight="1" x14ac:dyDescent="0.3">
      <c r="B134" s="87">
        <v>65</v>
      </c>
      <c r="C134" s="2">
        <v>2.4</v>
      </c>
      <c r="D134" s="2">
        <f t="shared" si="25"/>
        <v>43.048828125</v>
      </c>
      <c r="E134" s="63">
        <f t="shared" si="37"/>
        <v>3.5902946703024116E-5</v>
      </c>
      <c r="F134" s="59">
        <f t="shared" si="26"/>
        <v>0.63533032213232743</v>
      </c>
      <c r="G134" s="37">
        <f t="shared" si="38"/>
        <v>3.8201278067466207E-14</v>
      </c>
      <c r="H134" s="37">
        <f t="shared" si="39"/>
        <v>2.8973292335923412E-14</v>
      </c>
      <c r="I134" s="33">
        <f t="shared" si="40"/>
        <v>2.0962658623033455E-5</v>
      </c>
      <c r="J134" s="33">
        <f t="shared" si="41"/>
        <v>1.8032095885494781E-5</v>
      </c>
      <c r="K134" s="43">
        <f t="shared" si="42"/>
        <v>1.1222628006984306E-2</v>
      </c>
      <c r="L134" s="41">
        <f t="shared" si="43"/>
        <v>1.1186725060281281E-2</v>
      </c>
      <c r="M134" s="45">
        <f t="shared" si="44"/>
        <v>6.2236958356082792E-3</v>
      </c>
      <c r="N134" s="45">
        <f t="shared" si="45"/>
        <v>1.6067623264597795E-12</v>
      </c>
      <c r="O134" s="69">
        <f t="shared" si="46"/>
        <v>11.794048359665311</v>
      </c>
      <c r="Q134" s="47">
        <f t="shared" si="28"/>
        <v>42.60040283203125</v>
      </c>
      <c r="R134" s="47">
        <f t="shared" si="29"/>
        <v>1.0935978147010099</v>
      </c>
      <c r="S134" s="48"/>
      <c r="T134" s="47">
        <f t="shared" si="14"/>
        <v>42.1519775390625</v>
      </c>
      <c r="U134" s="47">
        <f t="shared" si="15"/>
        <v>-0.19912769978117562</v>
      </c>
    </row>
    <row r="135" spans="2:21" ht="17.399999999999999" customHeight="1" x14ac:dyDescent="0.3">
      <c r="B135" s="87">
        <v>66</v>
      </c>
      <c r="C135" s="2">
        <v>2.4500000000000002</v>
      </c>
      <c r="D135" s="2">
        <f t="shared" si="25"/>
        <v>43.9456787109375</v>
      </c>
      <c r="E135" s="63">
        <f t="shared" si="37"/>
        <v>3.1423910409684314E-5</v>
      </c>
      <c r="F135" s="59">
        <f t="shared" si="26"/>
        <v>0.63053993060366198</v>
      </c>
      <c r="G135" s="37">
        <f t="shared" si="38"/>
        <v>2.8973292335923412E-14</v>
      </c>
      <c r="H135" s="37">
        <f t="shared" si="39"/>
        <v>2.2694485149378249E-14</v>
      </c>
      <c r="I135" s="33">
        <f t="shared" si="40"/>
        <v>1.8032095885494781E-5</v>
      </c>
      <c r="J135" s="33">
        <f t="shared" si="41"/>
        <v>1.5770092047429195E-5</v>
      </c>
      <c r="K135" s="43">
        <f t="shared" si="42"/>
        <v>1.0958424548846967E-2</v>
      </c>
      <c r="L135" s="41">
        <f t="shared" si="43"/>
        <v>1.0927000638437283E-2</v>
      </c>
      <c r="M135" s="45">
        <f t="shared" si="44"/>
        <v>6.9488653052176596E-3</v>
      </c>
      <c r="N135" s="45">
        <f t="shared" si="45"/>
        <v>1.4390838735198033E-12</v>
      </c>
      <c r="O135" s="69">
        <f t="shared" si="46"/>
        <v>11.84191389352322</v>
      </c>
      <c r="Q135" s="47">
        <f t="shared" si="28"/>
        <v>43.49725341796875</v>
      </c>
      <c r="R135" s="47">
        <f t="shared" si="29"/>
        <v>0.9573106771581712</v>
      </c>
      <c r="S135" s="48"/>
      <c r="T135" s="47">
        <f t="shared" si="14"/>
        <v>43.048828125</v>
      </c>
      <c r="U135" s="47">
        <f t="shared" si="15"/>
        <v>-0.15196192061398323</v>
      </c>
    </row>
    <row r="136" spans="2:21" ht="17.399999999999999" customHeight="1" thickBot="1" x14ac:dyDescent="0.35">
      <c r="B136" s="88">
        <v>67</v>
      </c>
      <c r="C136" s="89">
        <v>2.5</v>
      </c>
      <c r="D136" s="89">
        <f t="shared" ref="D136:D139" si="47">C136*$G$15</f>
        <v>44.842529296875</v>
      </c>
      <c r="E136" s="63">
        <f t="shared" si="37"/>
        <v>2.7860817881877019E-5</v>
      </c>
      <c r="F136" s="59">
        <f t="shared" si="26"/>
        <v>0.62582123758594344</v>
      </c>
      <c r="G136" s="37">
        <f t="shared" si="38"/>
        <v>2.2694485149378249E-14</v>
      </c>
      <c r="H136" s="37">
        <f t="shared" si="39"/>
        <v>1.8235130305351865E-14</v>
      </c>
      <c r="I136" s="33">
        <f t="shared" si="40"/>
        <v>1.5770092047429195E-5</v>
      </c>
      <c r="J136" s="33">
        <f t="shared" si="41"/>
        <v>1.3973910507756788E-5</v>
      </c>
      <c r="K136" s="43">
        <f t="shared" si="42"/>
        <v>1.0708460625668537E-2</v>
      </c>
      <c r="L136" s="41">
        <f t="shared" si="43"/>
        <v>1.0680599807786659E-2</v>
      </c>
      <c r="M136" s="45">
        <f t="shared" si="44"/>
        <v>7.663181054239878E-3</v>
      </c>
      <c r="N136" s="45">
        <f t="shared" si="45"/>
        <v>1.3049411111678235E-12</v>
      </c>
      <c r="O136" s="70">
        <f t="shared" si="46"/>
        <v>11.884409086541734</v>
      </c>
      <c r="Q136" s="47">
        <f t="shared" si="28"/>
        <v>44.39410400390625</v>
      </c>
      <c r="R136" s="47">
        <f t="shared" si="29"/>
        <v>0.84990386037027876</v>
      </c>
      <c r="S136" s="48"/>
      <c r="T136" s="47">
        <f t="shared" si="14"/>
        <v>43.9456787109375</v>
      </c>
      <c r="U136" s="47">
        <f t="shared" si="15"/>
        <v>-0.1197599895367381</v>
      </c>
    </row>
    <row r="137" spans="2:21" x14ac:dyDescent="0.3">
      <c r="B137" s="87">
        <v>68</v>
      </c>
      <c r="C137" s="2">
        <v>2.5499999999999998</v>
      </c>
      <c r="D137" s="2">
        <f t="shared" si="25"/>
        <v>45.7393798828125</v>
      </c>
      <c r="E137" s="63">
        <f t="shared" si="37"/>
        <v>2.4962972748504911E-5</v>
      </c>
      <c r="F137" s="59">
        <f t="shared" si="26"/>
        <v>0.6211726453522759</v>
      </c>
      <c r="G137" s="37">
        <f t="shared" si="38"/>
        <v>1.8235130305351865E-14</v>
      </c>
      <c r="H137" s="37">
        <f t="shared" si="39"/>
        <v>1.4957805336853793E-14</v>
      </c>
      <c r="I137" s="33">
        <f t="shared" si="40"/>
        <v>1.3973910507756788E-5</v>
      </c>
      <c r="J137" s="33">
        <f t="shared" si="41"/>
        <v>1.2515023630668348E-5</v>
      </c>
      <c r="K137" s="43">
        <f t="shared" si="42"/>
        <v>1.0471176282143784E-2</v>
      </c>
      <c r="L137" s="41">
        <f t="shared" si="43"/>
        <v>1.044621330939528E-2</v>
      </c>
      <c r="M137" s="45">
        <f t="shared" si="44"/>
        <v>8.3668849465724782E-3</v>
      </c>
      <c r="N137" s="45">
        <f t="shared" si="45"/>
        <v>1.1951879419707489E-12</v>
      </c>
      <c r="O137" s="69">
        <f t="shared" ref="O137:O140" si="48">-LOG10(N137)</f>
        <v>11.922563797022972</v>
      </c>
      <c r="Q137" s="47">
        <f t="shared" ref="Q137:Q140" si="49">AVERAGE(D136:D137)</f>
        <v>45.29095458984375</v>
      </c>
      <c r="R137" s="47">
        <f t="shared" ref="R137:R140" si="50">(O137-O136)/(C137-C136)</f>
        <v>0.7630942096247777</v>
      </c>
      <c r="S137" s="48"/>
      <c r="T137" s="47">
        <f t="shared" ref="T137:T140" si="51">AVERAGE(Q136:Q137)</f>
        <v>44.842529296875</v>
      </c>
      <c r="U137" s="47">
        <f t="shared" ref="U137:U140" si="52">(R137-R136)/(Q137-Q136)</f>
        <v>-9.6793883068891348E-2</v>
      </c>
    </row>
    <row r="138" spans="2:21" x14ac:dyDescent="0.3">
      <c r="B138" s="87">
        <v>69</v>
      </c>
      <c r="C138" s="2">
        <v>2.6</v>
      </c>
      <c r="D138" s="2">
        <f t="shared" si="25"/>
        <v>46.63623046875</v>
      </c>
      <c r="E138" s="63">
        <f t="shared" si="37"/>
        <v>2.2563083635259926E-5</v>
      </c>
      <c r="F138" s="59">
        <f t="shared" si="26"/>
        <v>0.61659260329732524</v>
      </c>
      <c r="G138" s="37">
        <f t="shared" si="38"/>
        <v>1.4957805336853793E-14</v>
      </c>
      <c r="H138" s="37">
        <f t="shared" si="39"/>
        <v>1.2480989851784844E-14</v>
      </c>
      <c r="I138" s="33">
        <f t="shared" si="40"/>
        <v>1.2515023630668348E-5</v>
      </c>
      <c r="J138" s="33">
        <f t="shared" si="41"/>
        <v>1.1308041044311424E-5</v>
      </c>
      <c r="K138" s="43">
        <f t="shared" si="42"/>
        <v>1.0245324591906907E-2</v>
      </c>
      <c r="L138" s="41">
        <f t="shared" si="43"/>
        <v>1.0222761508271647E-2</v>
      </c>
      <c r="M138" s="45">
        <f t="shared" si="44"/>
        <v>9.0602117128508984E-3</v>
      </c>
      <c r="N138" s="45">
        <f t="shared" si="45"/>
        <v>1.103726967639853E-12</v>
      </c>
      <c r="O138" s="69">
        <f t="shared" si="48"/>
        <v>11.957138346092776</v>
      </c>
      <c r="Q138" s="47">
        <f t="shared" si="49"/>
        <v>46.18780517578125</v>
      </c>
      <c r="R138" s="47">
        <f t="shared" si="50"/>
        <v>0.69149098139607534</v>
      </c>
      <c r="S138" s="48"/>
      <c r="T138" s="47">
        <f t="shared" si="51"/>
        <v>45.7393798828125</v>
      </c>
      <c r="U138" s="47">
        <f t="shared" si="52"/>
        <v>-7.9838525336808172E-2</v>
      </c>
    </row>
    <row r="139" spans="2:21" ht="15" thickBot="1" x14ac:dyDescent="0.35">
      <c r="B139" s="88">
        <v>70</v>
      </c>
      <c r="C139" s="89">
        <v>2.65</v>
      </c>
      <c r="D139" s="89">
        <f t="shared" si="47"/>
        <v>47.5330810546875</v>
      </c>
      <c r="E139" s="63">
        <f t="shared" si="37"/>
        <v>2.0545322741118838E-5</v>
      </c>
      <c r="F139" s="59">
        <f t="shared" si="26"/>
        <v>0.61207960621284707</v>
      </c>
      <c r="G139" s="37">
        <f t="shared" si="38"/>
        <v>1.2480989851784844E-14</v>
      </c>
      <c r="H139" s="37">
        <f t="shared" si="39"/>
        <v>1.0565148371747414E-14</v>
      </c>
      <c r="I139" s="33">
        <f t="shared" si="40"/>
        <v>1.1308041044311424E-5</v>
      </c>
      <c r="J139" s="33">
        <f t="shared" si="41"/>
        <v>1.0294035266317214E-5</v>
      </c>
      <c r="K139" s="43">
        <f t="shared" si="42"/>
        <v>1.0029879215662748E-2</v>
      </c>
      <c r="L139" s="41">
        <f t="shared" si="43"/>
        <v>1.0009333892921629E-2</v>
      </c>
      <c r="M139" s="45">
        <f t="shared" si="44"/>
        <v>9.7433892114992052E-3</v>
      </c>
      <c r="N139" s="45">
        <f t="shared" si="45"/>
        <v>1.0263369124367876E-12</v>
      </c>
      <c r="O139" s="70">
        <f t="shared" si="48"/>
        <v>11.988710051316136</v>
      </c>
      <c r="Q139" s="47">
        <f t="shared" si="49"/>
        <v>47.08465576171875</v>
      </c>
      <c r="R139" s="47">
        <f t="shared" si="50"/>
        <v>0.6314341044672056</v>
      </c>
      <c r="S139" s="48"/>
      <c r="T139" s="47">
        <f t="shared" si="51"/>
        <v>46.63623046875</v>
      </c>
      <c r="U139" s="47">
        <f t="shared" si="52"/>
        <v>-6.6964194338002034E-2</v>
      </c>
    </row>
    <row r="140" spans="2:21" x14ac:dyDescent="0.3">
      <c r="B140" s="87">
        <v>71</v>
      </c>
      <c r="C140" s="2">
        <v>2.7</v>
      </c>
      <c r="D140" s="2">
        <f t="shared" si="25"/>
        <v>48.429931640625</v>
      </c>
      <c r="E140" s="63">
        <f t="shared" si="37"/>
        <v>1.882699643812949E-5</v>
      </c>
      <c r="F140" s="59">
        <f t="shared" si="26"/>
        <v>0.60763219263839352</v>
      </c>
      <c r="G140" s="37">
        <f t="shared" si="38"/>
        <v>1.0565148371747414E-14</v>
      </c>
      <c r="H140" s="37">
        <f t="shared" si="39"/>
        <v>9.053824803511066E-15</v>
      </c>
      <c r="I140" s="33">
        <f t="shared" si="40"/>
        <v>1.0294035266317214E-5</v>
      </c>
      <c r="J140" s="33">
        <f t="shared" si="41"/>
        <v>9.431042163571049E-6</v>
      </c>
      <c r="K140" s="43">
        <f t="shared" si="42"/>
        <v>9.823975857867524E-3</v>
      </c>
      <c r="L140" s="41">
        <f t="shared" si="43"/>
        <v>9.8051488614293945E-3</v>
      </c>
      <c r="M140" s="45">
        <f t="shared" si="44"/>
        <v>1.0416638678399983E-2</v>
      </c>
      <c r="N140" s="45">
        <f t="shared" si="45"/>
        <v>9.600025794055882E-13</v>
      </c>
      <c r="O140" s="69">
        <f t="shared" si="48"/>
        <v>12.017727600064486</v>
      </c>
      <c r="Q140" s="47">
        <f t="shared" si="49"/>
        <v>47.98150634765625</v>
      </c>
      <c r="R140" s="47">
        <f t="shared" si="50"/>
        <v>0.58035097496698684</v>
      </c>
      <c r="S140" s="48"/>
      <c r="T140" s="47">
        <f t="shared" si="51"/>
        <v>47.5330810546875</v>
      </c>
      <c r="U140" s="47">
        <f t="shared" si="52"/>
        <v>-5.6958349920483473E-2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T_Mprotic_Ac_B_simulation_ (2</vt:lpstr>
      <vt:lpstr>T_Diprotic_Ac_B_simulation_pH</vt:lpstr>
      <vt:lpstr>C_NaOH</vt:lpstr>
      <vt:lpstr>Co_HA</vt:lpstr>
      <vt:lpstr>Ka1_</vt:lpstr>
      <vt:lpstr>Kw</vt:lpstr>
      <vt:lpstr>pKa1_</vt:lpstr>
      <vt:lpstr>pKw</vt:lpstr>
      <vt:lpstr>V_HA</vt:lpstr>
      <vt:lpstr>Vequivalent</vt:lpstr>
    </vt:vector>
  </TitlesOfParts>
  <Company>Universidade do Porto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</dc:creator>
  <cp:lastModifiedBy>UP</cp:lastModifiedBy>
  <dcterms:created xsi:type="dcterms:W3CDTF">2020-05-08T09:45:43Z</dcterms:created>
  <dcterms:modified xsi:type="dcterms:W3CDTF">2020-05-11T17:41:54Z</dcterms:modified>
</cp:coreProperties>
</file>